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OFICIO 153 LDF\"/>
    </mc:Choice>
  </mc:AlternateContent>
  <xr:revisionPtr revIDLastSave="0" documentId="13_ncr:1_{3D671AF9-008C-4273-AE9B-0148B7DB6BAC}" xr6:coauthVersionLast="36" xr6:coauthVersionMax="36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2290" windowHeight="11715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_xlnm.Print_Area" localSheetId="5">'Formato 2'!$A$1:$H$53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8" i="6" l="1"/>
  <c r="C58" i="6"/>
  <c r="D58" i="6"/>
  <c r="E58" i="6"/>
  <c r="F58" i="6"/>
  <c r="F54" i="5" l="1"/>
  <c r="D54" i="5"/>
  <c r="D45" i="5"/>
  <c r="B54" i="5"/>
  <c r="B45" i="5"/>
  <c r="K9" i="3"/>
  <c r="K10" i="3"/>
  <c r="K11" i="3"/>
  <c r="K12" i="3"/>
  <c r="E9" i="1"/>
  <c r="F44" i="8" l="1"/>
  <c r="F53" i="8"/>
  <c r="G82" i="6"/>
  <c r="C137" i="6" l="1"/>
  <c r="D137" i="6"/>
  <c r="R129" i="24" s="1"/>
  <c r="E137" i="6"/>
  <c r="S129" i="24" s="1"/>
  <c r="F137" i="6"/>
  <c r="T129" i="24" s="1"/>
  <c r="B137" i="6"/>
  <c r="C62" i="6"/>
  <c r="Q55" i="24" s="1"/>
  <c r="D62" i="6"/>
  <c r="E62" i="6"/>
  <c r="S55" i="24" s="1"/>
  <c r="F62" i="6"/>
  <c r="B62" i="6"/>
  <c r="B8" i="10"/>
  <c r="C6" i="23"/>
  <c r="C7" i="23" s="1"/>
  <c r="A2" i="7" s="1"/>
  <c r="B9" i="1"/>
  <c r="H25" i="23"/>
  <c r="F5" i="13" s="1"/>
  <c r="G25" i="23"/>
  <c r="F25" i="23"/>
  <c r="D5" i="13" s="1"/>
  <c r="E25" i="23"/>
  <c r="D25" i="23"/>
  <c r="B5" i="13" s="1"/>
  <c r="G30" i="9"/>
  <c r="G31" i="9"/>
  <c r="U23" i="27" s="1"/>
  <c r="G29" i="9"/>
  <c r="G26" i="9"/>
  <c r="U18" i="27" s="1"/>
  <c r="G27" i="9"/>
  <c r="G25" i="9"/>
  <c r="G23" i="9"/>
  <c r="G22" i="9"/>
  <c r="U14" i="27" s="1"/>
  <c r="G19" i="9"/>
  <c r="G18" i="9"/>
  <c r="U11" i="27" s="1"/>
  <c r="G17" i="9"/>
  <c r="G14" i="9"/>
  <c r="G15" i="9"/>
  <c r="G13" i="9"/>
  <c r="U6" i="27" s="1"/>
  <c r="G11" i="9"/>
  <c r="G10" i="9"/>
  <c r="U3" i="27" s="1"/>
  <c r="G73" i="8"/>
  <c r="U65" i="26" s="1"/>
  <c r="G74" i="8"/>
  <c r="G75" i="8"/>
  <c r="G72" i="8"/>
  <c r="U64" i="26" s="1"/>
  <c r="G63" i="8"/>
  <c r="U55" i="26" s="1"/>
  <c r="G64" i="8"/>
  <c r="U56" i="26" s="1"/>
  <c r="G65" i="8"/>
  <c r="G66" i="8"/>
  <c r="G67" i="8"/>
  <c r="G68" i="8"/>
  <c r="G69" i="8"/>
  <c r="G70" i="8"/>
  <c r="U62" i="26" s="1"/>
  <c r="G62" i="8"/>
  <c r="G56" i="8"/>
  <c r="U48" i="26" s="1"/>
  <c r="G57" i="8"/>
  <c r="U49" i="26" s="1"/>
  <c r="G59" i="8"/>
  <c r="U51" i="26" s="1"/>
  <c r="G60" i="8"/>
  <c r="U52" i="26" s="1"/>
  <c r="G54" i="8"/>
  <c r="G46" i="8"/>
  <c r="G48" i="8"/>
  <c r="U40" i="26" s="1"/>
  <c r="U41" i="26"/>
  <c r="G50" i="8"/>
  <c r="U42" i="26" s="1"/>
  <c r="G52" i="8"/>
  <c r="G45" i="8"/>
  <c r="U37" i="26" s="1"/>
  <c r="G39" i="8"/>
  <c r="G40" i="8"/>
  <c r="U33" i="26" s="1"/>
  <c r="G41" i="8"/>
  <c r="G38" i="8"/>
  <c r="U31" i="26" s="1"/>
  <c r="G11" i="8"/>
  <c r="U4" i="26" s="1"/>
  <c r="G12" i="8"/>
  <c r="U5" i="26" s="1"/>
  <c r="G13" i="8"/>
  <c r="G14" i="8"/>
  <c r="U7" i="26" s="1"/>
  <c r="G15" i="8"/>
  <c r="G16" i="8"/>
  <c r="U9" i="26" s="1"/>
  <c r="G17" i="8"/>
  <c r="G18" i="8"/>
  <c r="U11" i="26" s="1"/>
  <c r="G20" i="8"/>
  <c r="G21" i="8"/>
  <c r="G22" i="8"/>
  <c r="G23" i="8"/>
  <c r="G24" i="8"/>
  <c r="U17" i="26" s="1"/>
  <c r="G25" i="8"/>
  <c r="U18" i="26" s="1"/>
  <c r="G26" i="8"/>
  <c r="G28" i="8"/>
  <c r="G29" i="8"/>
  <c r="U22" i="26" s="1"/>
  <c r="G30" i="8"/>
  <c r="G31" i="8"/>
  <c r="G32" i="8"/>
  <c r="G33" i="8"/>
  <c r="U26" i="26" s="1"/>
  <c r="G34" i="8"/>
  <c r="U27" i="26" s="1"/>
  <c r="G35" i="8"/>
  <c r="G36" i="8"/>
  <c r="U29" i="26" s="1"/>
  <c r="G21" i="7"/>
  <c r="G22" i="7"/>
  <c r="G23" i="7"/>
  <c r="G24" i="7"/>
  <c r="G25" i="7"/>
  <c r="G26" i="7"/>
  <c r="G27" i="7"/>
  <c r="G20" i="7"/>
  <c r="G19" i="7" s="1"/>
  <c r="U3" i="25" s="1"/>
  <c r="G11" i="7"/>
  <c r="G12" i="7"/>
  <c r="G13" i="7"/>
  <c r="G14" i="7"/>
  <c r="G15" i="7"/>
  <c r="G16" i="7"/>
  <c r="G17" i="7"/>
  <c r="G10" i="7"/>
  <c r="G9" i="7" s="1"/>
  <c r="B10" i="6"/>
  <c r="B18" i="6"/>
  <c r="P11" i="24" s="1"/>
  <c r="B28" i="6"/>
  <c r="B38" i="6"/>
  <c r="P31" i="24" s="1"/>
  <c r="B48" i="6"/>
  <c r="B71" i="6"/>
  <c r="P64" i="24" s="1"/>
  <c r="B75" i="6"/>
  <c r="P68" i="24" s="1"/>
  <c r="G152" i="6"/>
  <c r="G153" i="6"/>
  <c r="G154" i="6"/>
  <c r="U146" i="24" s="1"/>
  <c r="G155" i="6"/>
  <c r="G156" i="6"/>
  <c r="G157" i="6"/>
  <c r="G151" i="6"/>
  <c r="U143" i="24" s="1"/>
  <c r="G148" i="6"/>
  <c r="G149" i="6"/>
  <c r="U141" i="24" s="1"/>
  <c r="G147" i="6"/>
  <c r="G139" i="6"/>
  <c r="U131" i="24" s="1"/>
  <c r="G140" i="6"/>
  <c r="U132" i="24" s="1"/>
  <c r="G141" i="6"/>
  <c r="G142" i="6"/>
  <c r="G143" i="6"/>
  <c r="G144" i="6"/>
  <c r="U136" i="24" s="1"/>
  <c r="G145" i="6"/>
  <c r="U137" i="24" s="1"/>
  <c r="G138" i="6"/>
  <c r="G135" i="6"/>
  <c r="U127" i="24" s="1"/>
  <c r="G136" i="6"/>
  <c r="U128" i="24" s="1"/>
  <c r="G134" i="6"/>
  <c r="U126" i="24" s="1"/>
  <c r="G125" i="6"/>
  <c r="G126" i="6"/>
  <c r="G127" i="6"/>
  <c r="U119" i="24" s="1"/>
  <c r="G128" i="6"/>
  <c r="G129" i="6"/>
  <c r="G130" i="6"/>
  <c r="U122" i="24" s="1"/>
  <c r="G131" i="6"/>
  <c r="G132" i="6"/>
  <c r="U124" i="24" s="1"/>
  <c r="G124" i="6"/>
  <c r="G115" i="6"/>
  <c r="U107" i="24" s="1"/>
  <c r="G116" i="6"/>
  <c r="G117" i="6"/>
  <c r="U109" i="24" s="1"/>
  <c r="G118" i="6"/>
  <c r="G119" i="6"/>
  <c r="U111" i="24" s="1"/>
  <c r="G120" i="6"/>
  <c r="G121" i="6"/>
  <c r="U113" i="24" s="1"/>
  <c r="G122" i="6"/>
  <c r="G114" i="6"/>
  <c r="U106" i="24" s="1"/>
  <c r="G105" i="6"/>
  <c r="U97" i="24" s="1"/>
  <c r="G106" i="6"/>
  <c r="U98" i="24" s="1"/>
  <c r="G107" i="6"/>
  <c r="G108" i="6"/>
  <c r="U100" i="24" s="1"/>
  <c r="G109" i="6"/>
  <c r="U101" i="24" s="1"/>
  <c r="G110" i="6"/>
  <c r="G111" i="6"/>
  <c r="G112" i="6"/>
  <c r="G104" i="6"/>
  <c r="G95" i="6"/>
  <c r="U87" i="24" s="1"/>
  <c r="G96" i="6"/>
  <c r="G97" i="6"/>
  <c r="U89" i="24" s="1"/>
  <c r="G98" i="6"/>
  <c r="U90" i="24" s="1"/>
  <c r="G99" i="6"/>
  <c r="U91" i="24" s="1"/>
  <c r="G100" i="6"/>
  <c r="G101" i="6"/>
  <c r="U93" i="24" s="1"/>
  <c r="G102" i="6"/>
  <c r="G94" i="6"/>
  <c r="U86" i="24" s="1"/>
  <c r="G87" i="6"/>
  <c r="G88" i="6"/>
  <c r="U80" i="24" s="1"/>
  <c r="G89" i="6"/>
  <c r="U81" i="24" s="1"/>
  <c r="G90" i="6"/>
  <c r="U82" i="24" s="1"/>
  <c r="G91" i="6"/>
  <c r="G92" i="6"/>
  <c r="U84" i="24" s="1"/>
  <c r="G86" i="6"/>
  <c r="G77" i="6"/>
  <c r="U70" i="24" s="1"/>
  <c r="G78" i="6"/>
  <c r="G79" i="6"/>
  <c r="U72" i="24" s="1"/>
  <c r="G80" i="6"/>
  <c r="G81" i="6"/>
  <c r="U74" i="24" s="1"/>
  <c r="G76" i="6"/>
  <c r="U69" i="24" s="1"/>
  <c r="G73" i="6"/>
  <c r="U66" i="24" s="1"/>
  <c r="G74" i="6"/>
  <c r="G72" i="6"/>
  <c r="U65" i="24" s="1"/>
  <c r="G64" i="6"/>
  <c r="U57" i="24" s="1"/>
  <c r="G65" i="6"/>
  <c r="U58" i="24" s="1"/>
  <c r="G66" i="6"/>
  <c r="G67" i="6"/>
  <c r="G68" i="6"/>
  <c r="U61" i="24" s="1"/>
  <c r="G69" i="6"/>
  <c r="U62" i="24" s="1"/>
  <c r="G70" i="6"/>
  <c r="G63" i="6"/>
  <c r="G60" i="6"/>
  <c r="G61" i="6"/>
  <c r="U54" i="24" s="1"/>
  <c r="G59" i="6"/>
  <c r="G50" i="6"/>
  <c r="U43" i="24" s="1"/>
  <c r="G51" i="6"/>
  <c r="G52" i="6"/>
  <c r="U45" i="24" s="1"/>
  <c r="G53" i="6"/>
  <c r="U46" i="24" s="1"/>
  <c r="G54" i="6"/>
  <c r="G55" i="6"/>
  <c r="U48" i="24" s="1"/>
  <c r="G56" i="6"/>
  <c r="U49" i="24" s="1"/>
  <c r="G57" i="6"/>
  <c r="U50" i="24" s="1"/>
  <c r="G49" i="6"/>
  <c r="G40" i="6"/>
  <c r="U33" i="24" s="1"/>
  <c r="G41" i="6"/>
  <c r="U34" i="24" s="1"/>
  <c r="G42" i="6"/>
  <c r="U35" i="24" s="1"/>
  <c r="G43" i="6"/>
  <c r="G44" i="6"/>
  <c r="U37" i="24" s="1"/>
  <c r="G45" i="6"/>
  <c r="U38" i="24" s="1"/>
  <c r="G46" i="6"/>
  <c r="U39" i="24" s="1"/>
  <c r="G47" i="6"/>
  <c r="U40" i="24" s="1"/>
  <c r="G39" i="6"/>
  <c r="G30" i="6"/>
  <c r="U23" i="24" s="1"/>
  <c r="G31" i="6"/>
  <c r="U24" i="24" s="1"/>
  <c r="G32" i="6"/>
  <c r="U25" i="24" s="1"/>
  <c r="G33" i="6"/>
  <c r="G34" i="6"/>
  <c r="G35" i="6"/>
  <c r="G36" i="6"/>
  <c r="G37" i="6"/>
  <c r="U30" i="24" s="1"/>
  <c r="G29" i="6"/>
  <c r="G20" i="6"/>
  <c r="U13" i="24" s="1"/>
  <c r="G21" i="6"/>
  <c r="G22" i="6"/>
  <c r="U15" i="24" s="1"/>
  <c r="G23" i="6"/>
  <c r="U16" i="24" s="1"/>
  <c r="G24" i="6"/>
  <c r="G25" i="6"/>
  <c r="G26" i="6"/>
  <c r="G27" i="6"/>
  <c r="U20" i="24" s="1"/>
  <c r="G19" i="6"/>
  <c r="G11" i="6"/>
  <c r="U4" i="24" s="1"/>
  <c r="B7" i="13"/>
  <c r="G12" i="6"/>
  <c r="U5" i="24" s="1"/>
  <c r="G13" i="6"/>
  <c r="U6" i="24" s="1"/>
  <c r="G14" i="6"/>
  <c r="G15" i="6"/>
  <c r="U8" i="24" s="1"/>
  <c r="G16" i="6"/>
  <c r="U9" i="24" s="1"/>
  <c r="G17" i="6"/>
  <c r="U10" i="24" s="1"/>
  <c r="G9" i="5"/>
  <c r="U3" i="20" s="1"/>
  <c r="G10" i="5"/>
  <c r="U4" i="20" s="1"/>
  <c r="G11" i="5"/>
  <c r="G12" i="5"/>
  <c r="U6" i="20" s="1"/>
  <c r="G13" i="5"/>
  <c r="U7" i="20" s="1"/>
  <c r="G14" i="5"/>
  <c r="U8" i="20" s="1"/>
  <c r="G15" i="5"/>
  <c r="G18" i="5"/>
  <c r="G19" i="5"/>
  <c r="U13" i="20" s="1"/>
  <c r="G20" i="5"/>
  <c r="U14" i="20" s="1"/>
  <c r="G21" i="5"/>
  <c r="G22" i="5"/>
  <c r="U16" i="20" s="1"/>
  <c r="G23" i="5"/>
  <c r="U17" i="20" s="1"/>
  <c r="G24" i="5"/>
  <c r="U18" i="20" s="1"/>
  <c r="G25" i="5"/>
  <c r="G26" i="5"/>
  <c r="G27" i="5"/>
  <c r="G29" i="5"/>
  <c r="U23" i="20" s="1"/>
  <c r="G30" i="5"/>
  <c r="U24" i="20" s="1"/>
  <c r="G31" i="5"/>
  <c r="G32" i="5"/>
  <c r="U26" i="20" s="1"/>
  <c r="G33" i="5"/>
  <c r="U27" i="20" s="1"/>
  <c r="G34" i="5"/>
  <c r="G36" i="5"/>
  <c r="G35" i="5" s="1"/>
  <c r="U29" i="20" s="1"/>
  <c r="G38" i="5"/>
  <c r="U32" i="20" s="1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Q2" i="31" s="1"/>
  <c r="D7" i="13"/>
  <c r="D29" i="13"/>
  <c r="R22" i="31" s="1"/>
  <c r="E7" i="13"/>
  <c r="E29" i="13" s="1"/>
  <c r="S22" i="31" s="1"/>
  <c r="F7" i="13"/>
  <c r="G7" i="13"/>
  <c r="R2" i="31"/>
  <c r="S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 s="1"/>
  <c r="E28" i="12"/>
  <c r="S21" i="30" s="1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E7" i="12"/>
  <c r="E31" i="12" s="1"/>
  <c r="S23" i="30" s="1"/>
  <c r="F7" i="12"/>
  <c r="T2" i="30" s="1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/>
  <c r="D36" i="12"/>
  <c r="R27" i="30" s="1"/>
  <c r="E36" i="12"/>
  <c r="S27" i="30" s="1"/>
  <c r="F36" i="12"/>
  <c r="T27" i="30" s="1"/>
  <c r="G36" i="12"/>
  <c r="U27" i="30" s="1"/>
  <c r="S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 s="1"/>
  <c r="D19" i="11"/>
  <c r="R12" i="29" s="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 s="1"/>
  <c r="P22" i="29" s="1"/>
  <c r="C8" i="11"/>
  <c r="C30" i="11" s="1"/>
  <c r="Q22" i="29" s="1"/>
  <c r="D8" i="11"/>
  <c r="E8" i="11"/>
  <c r="S2" i="29" s="1"/>
  <c r="F8" i="11"/>
  <c r="G8" i="11"/>
  <c r="G30" i="11" s="1"/>
  <c r="U22" i="29" s="1"/>
  <c r="R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 s="1"/>
  <c r="D8" i="10"/>
  <c r="R2" i="28" s="1"/>
  <c r="E8" i="10"/>
  <c r="S2" i="28"/>
  <c r="F8" i="10"/>
  <c r="T2" i="28" s="1"/>
  <c r="G8" i="10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D32" i="10" s="1"/>
  <c r="R23" i="28" s="1"/>
  <c r="E29" i="10"/>
  <c r="S21" i="28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Q5" i="27" s="1"/>
  <c r="C16" i="9"/>
  <c r="Q9" i="27" s="1"/>
  <c r="D12" i="9"/>
  <c r="R5" i="27" s="1"/>
  <c r="D16" i="9"/>
  <c r="R9" i="27" s="1"/>
  <c r="E12" i="9"/>
  <c r="S5" i="27" s="1"/>
  <c r="E16" i="9"/>
  <c r="S9" i="27" s="1"/>
  <c r="F12" i="9"/>
  <c r="F16" i="9"/>
  <c r="Q3" i="27"/>
  <c r="R3" i="27"/>
  <c r="S3" i="27"/>
  <c r="T3" i="27"/>
  <c r="Q4" i="27"/>
  <c r="R4" i="27"/>
  <c r="S4" i="27"/>
  <c r="T4" i="27"/>
  <c r="U4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C28" i="9"/>
  <c r="Q20" i="27" s="1"/>
  <c r="D24" i="9"/>
  <c r="D28" i="9"/>
  <c r="E24" i="9"/>
  <c r="S16" i="27" s="1"/>
  <c r="E28" i="9"/>
  <c r="S20" i="27" s="1"/>
  <c r="F24" i="9"/>
  <c r="F28" i="9"/>
  <c r="T20" i="27" s="1"/>
  <c r="G28" i="9"/>
  <c r="U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R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 s="1"/>
  <c r="P6" i="27"/>
  <c r="P7" i="27"/>
  <c r="P8" i="27"/>
  <c r="B16" i="9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E10" i="8"/>
  <c r="S3" i="26" s="1"/>
  <c r="E19" i="8"/>
  <c r="E27" i="8"/>
  <c r="S20" i="26" s="1"/>
  <c r="E37" i="8"/>
  <c r="S30" i="26" s="1"/>
  <c r="F10" i="8"/>
  <c r="T3" i="26" s="1"/>
  <c r="F19" i="8"/>
  <c r="T12" i="26" s="1"/>
  <c r="F27" i="8"/>
  <c r="T20" i="26" s="1"/>
  <c r="F37" i="8"/>
  <c r="T30" i="26" s="1"/>
  <c r="Q3" i="26"/>
  <c r="Q4" i="26"/>
  <c r="R4" i="26"/>
  <c r="S4" i="26"/>
  <c r="T4" i="26"/>
  <c r="Q5" i="26"/>
  <c r="R5" i="26"/>
  <c r="S5" i="26"/>
  <c r="T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Q18" i="26"/>
  <c r="R18" i="26"/>
  <c r="S18" i="26"/>
  <c r="T18" i="26"/>
  <c r="Q19" i="26"/>
  <c r="R19" i="26"/>
  <c r="S19" i="26"/>
  <c r="T19" i="26"/>
  <c r="U19" i="26"/>
  <c r="Q21" i="26"/>
  <c r="R21" i="26"/>
  <c r="S21" i="26"/>
  <c r="T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Q28" i="26"/>
  <c r="R28" i="26"/>
  <c r="S28" i="26"/>
  <c r="T28" i="26"/>
  <c r="U28" i="26"/>
  <c r="Q29" i="26"/>
  <c r="R29" i="26"/>
  <c r="S29" i="26"/>
  <c r="T29" i="26"/>
  <c r="R30" i="26"/>
  <c r="Q31" i="26"/>
  <c r="R31" i="26"/>
  <c r="S31" i="26"/>
  <c r="T31" i="26"/>
  <c r="Q32" i="26"/>
  <c r="R32" i="26"/>
  <c r="S32" i="26"/>
  <c r="T32" i="26"/>
  <c r="U32" i="26"/>
  <c r="Q33" i="26"/>
  <c r="R33" i="26"/>
  <c r="S33" i="26"/>
  <c r="T33" i="26"/>
  <c r="Q34" i="26"/>
  <c r="R34" i="26"/>
  <c r="S34" i="26"/>
  <c r="T34" i="26"/>
  <c r="U34" i="26"/>
  <c r="C44" i="8"/>
  <c r="Q36" i="26" s="1"/>
  <c r="C53" i="8"/>
  <c r="Q45" i="26" s="1"/>
  <c r="C61" i="8"/>
  <c r="Q53" i="26" s="1"/>
  <c r="C71" i="8"/>
  <c r="D44" i="8"/>
  <c r="R36" i="26" s="1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F61" i="8"/>
  <c r="T53" i="26" s="1"/>
  <c r="F71" i="8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Q42" i="26"/>
  <c r="R42" i="26"/>
  <c r="S42" i="26"/>
  <c r="T42" i="26"/>
  <c r="Q43" i="26"/>
  <c r="R43" i="26"/>
  <c r="S43" i="26"/>
  <c r="T43" i="26"/>
  <c r="U43" i="26"/>
  <c r="Q44" i="26"/>
  <c r="R44" i="26"/>
  <c r="S44" i="26"/>
  <c r="T44" i="26"/>
  <c r="U44" i="26"/>
  <c r="Q46" i="26"/>
  <c r="R46" i="26"/>
  <c r="S46" i="26"/>
  <c r="T46" i="26"/>
  <c r="Q47" i="26"/>
  <c r="R47" i="26"/>
  <c r="S47" i="26"/>
  <c r="T47" i="26"/>
  <c r="U47" i="26"/>
  <c r="Q48" i="26"/>
  <c r="R48" i="26"/>
  <c r="S48" i="26"/>
  <c r="T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Q52" i="26"/>
  <c r="R52" i="26"/>
  <c r="S52" i="26"/>
  <c r="T52" i="26"/>
  <c r="Q54" i="26"/>
  <c r="R54" i="26"/>
  <c r="S54" i="26"/>
  <c r="T54" i="26"/>
  <c r="U54" i="26"/>
  <c r="Q55" i="26"/>
  <c r="R55" i="26"/>
  <c r="S55" i="26"/>
  <c r="T55" i="26"/>
  <c r="Q56" i="26"/>
  <c r="R56" i="26"/>
  <c r="S56" i="26"/>
  <c r="T56" i="26"/>
  <c r="Q57" i="26"/>
  <c r="R57" i="26"/>
  <c r="S57" i="26"/>
  <c r="T57" i="26"/>
  <c r="U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Q63" i="26"/>
  <c r="T63" i="26"/>
  <c r="Q64" i="26"/>
  <c r="R64" i="26"/>
  <c r="S64" i="26"/>
  <c r="T64" i="26"/>
  <c r="Q65" i="26"/>
  <c r="R65" i="26"/>
  <c r="S65" i="26"/>
  <c r="T65" i="26"/>
  <c r="Q66" i="26"/>
  <c r="R66" i="26"/>
  <c r="S66" i="26"/>
  <c r="T66" i="26"/>
  <c r="Q67" i="26"/>
  <c r="R67" i="26"/>
  <c r="S67" i="26"/>
  <c r="T67" i="26"/>
  <c r="U67" i="26"/>
  <c r="B44" i="8"/>
  <c r="B53" i="8"/>
  <c r="B61" i="8"/>
  <c r="P53" i="26" s="1"/>
  <c r="B71" i="8"/>
  <c r="P63" i="26" s="1"/>
  <c r="B10" i="8"/>
  <c r="P3" i="26" s="1"/>
  <c r="B19" i="8"/>
  <c r="P12" i="26" s="1"/>
  <c r="B27" i="8"/>
  <c r="P20" i="26" s="1"/>
  <c r="B37" i="8"/>
  <c r="P30" i="26" s="1"/>
  <c r="P36" i="26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19" i="7"/>
  <c r="T3" i="25" s="1"/>
  <c r="E9" i="7"/>
  <c r="E19" i="7"/>
  <c r="S3" i="25" s="1"/>
  <c r="D9" i="7"/>
  <c r="D19" i="7"/>
  <c r="R3" i="25" s="1"/>
  <c r="C9" i="7"/>
  <c r="C19" i="7"/>
  <c r="B9" i="7"/>
  <c r="P2" i="25" s="1"/>
  <c r="B19" i="7"/>
  <c r="A3" i="25"/>
  <c r="A4" i="25"/>
  <c r="A2" i="25"/>
  <c r="A87" i="24"/>
  <c r="C85" i="6"/>
  <c r="Q77" i="24" s="1"/>
  <c r="C93" i="6"/>
  <c r="C103" i="6"/>
  <c r="C113" i="6"/>
  <c r="Q105" i="24" s="1"/>
  <c r="C123" i="6"/>
  <c r="C133" i="6"/>
  <c r="Q125" i="24" s="1"/>
  <c r="C146" i="6"/>
  <c r="C150" i="6"/>
  <c r="Q142" i="24" s="1"/>
  <c r="D85" i="6"/>
  <c r="R77" i="24" s="1"/>
  <c r="D93" i="6"/>
  <c r="D103" i="6"/>
  <c r="R95" i="24" s="1"/>
  <c r="D113" i="6"/>
  <c r="R105" i="24" s="1"/>
  <c r="D123" i="6"/>
  <c r="D133" i="6"/>
  <c r="R125" i="24" s="1"/>
  <c r="D146" i="6"/>
  <c r="R138" i="24" s="1"/>
  <c r="D150" i="6"/>
  <c r="R142" i="24" s="1"/>
  <c r="E85" i="6"/>
  <c r="S77" i="24" s="1"/>
  <c r="E93" i="6"/>
  <c r="S85" i="24" s="1"/>
  <c r="E103" i="6"/>
  <c r="S95" i="24" s="1"/>
  <c r="E113" i="6"/>
  <c r="S105" i="24" s="1"/>
  <c r="E123" i="6"/>
  <c r="S115" i="24" s="1"/>
  <c r="E133" i="6"/>
  <c r="S125" i="24" s="1"/>
  <c r="E146" i="6"/>
  <c r="S138" i="24" s="1"/>
  <c r="E150" i="6"/>
  <c r="S142" i="24" s="1"/>
  <c r="F85" i="6"/>
  <c r="F93" i="6"/>
  <c r="T85" i="24" s="1"/>
  <c r="F103" i="6"/>
  <c r="T95" i="24" s="1"/>
  <c r="F113" i="6"/>
  <c r="T105" i="24" s="1"/>
  <c r="F123" i="6"/>
  <c r="F133" i="6"/>
  <c r="T125" i="24" s="1"/>
  <c r="F146" i="6"/>
  <c r="T138" i="24" s="1"/>
  <c r="F150" i="6"/>
  <c r="T142" i="24" s="1"/>
  <c r="T77" i="24"/>
  <c r="Q78" i="24"/>
  <c r="R78" i="24"/>
  <c r="S78" i="24"/>
  <c r="T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Q83" i="24"/>
  <c r="R83" i="24"/>
  <c r="S83" i="24"/>
  <c r="T83" i="24"/>
  <c r="U83" i="24"/>
  <c r="Q84" i="24"/>
  <c r="R84" i="24"/>
  <c r="S84" i="24"/>
  <c r="T84" i="24"/>
  <c r="Q85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Q94" i="24"/>
  <c r="R94" i="24"/>
  <c r="S94" i="24"/>
  <c r="T94" i="24"/>
  <c r="U94" i="24"/>
  <c r="Q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Q99" i="24"/>
  <c r="R99" i="24"/>
  <c r="S99" i="24"/>
  <c r="T99" i="24"/>
  <c r="U99" i="24"/>
  <c r="Q100" i="24"/>
  <c r="R100" i="24"/>
  <c r="S100" i="24"/>
  <c r="T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U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U112" i="24"/>
  <c r="Q113" i="24"/>
  <c r="R113" i="24"/>
  <c r="S113" i="24"/>
  <c r="T113" i="24"/>
  <c r="Q114" i="24"/>
  <c r="R114" i="24"/>
  <c r="S114" i="24"/>
  <c r="T114" i="24"/>
  <c r="U114" i="24"/>
  <c r="Q115" i="24"/>
  <c r="R115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U123" i="24"/>
  <c r="Q124" i="24"/>
  <c r="R124" i="24"/>
  <c r="S124" i="24"/>
  <c r="T124" i="24"/>
  <c r="Q126" i="24"/>
  <c r="R126" i="24"/>
  <c r="S126" i="24"/>
  <c r="T126" i="24"/>
  <c r="Q127" i="24"/>
  <c r="R127" i="24"/>
  <c r="S127" i="24"/>
  <c r="T127" i="24"/>
  <c r="Q128" i="24"/>
  <c r="R128" i="24"/>
  <c r="S128" i="24"/>
  <c r="T128" i="24"/>
  <c r="Q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Q137" i="24"/>
  <c r="R137" i="24"/>
  <c r="S137" i="24"/>
  <c r="T137" i="24"/>
  <c r="Q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Q143" i="24"/>
  <c r="R143" i="24"/>
  <c r="S143" i="24"/>
  <c r="T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 s="1"/>
  <c r="C18" i="6"/>
  <c r="C28" i="6"/>
  <c r="Q21" i="24" s="1"/>
  <c r="C38" i="6"/>
  <c r="Q31" i="24" s="1"/>
  <c r="C48" i="6"/>
  <c r="Q41" i="24" s="1"/>
  <c r="C71" i="6"/>
  <c r="Q64" i="24" s="1"/>
  <c r="C75" i="6"/>
  <c r="Q68" i="24" s="1"/>
  <c r="D10" i="6"/>
  <c r="R3" i="24" s="1"/>
  <c r="D18" i="6"/>
  <c r="R11" i="24" s="1"/>
  <c r="D28" i="6"/>
  <c r="D38" i="6"/>
  <c r="R31" i="24" s="1"/>
  <c r="D48" i="6"/>
  <c r="R41" i="24" s="1"/>
  <c r="D71" i="6"/>
  <c r="R64" i="24" s="1"/>
  <c r="D75" i="6"/>
  <c r="R68" i="24" s="1"/>
  <c r="E10" i="6"/>
  <c r="S3" i="24" s="1"/>
  <c r="E18" i="6"/>
  <c r="E28" i="6"/>
  <c r="S21" i="24" s="1"/>
  <c r="E38" i="6"/>
  <c r="S31" i="24" s="1"/>
  <c r="E48" i="6"/>
  <c r="S41" i="24" s="1"/>
  <c r="E71" i="6"/>
  <c r="S64" i="24" s="1"/>
  <c r="E75" i="6"/>
  <c r="S68" i="24" s="1"/>
  <c r="F10" i="6"/>
  <c r="T3" i="24" s="1"/>
  <c r="F18" i="6"/>
  <c r="T11" i="24" s="1"/>
  <c r="F28" i="6"/>
  <c r="T21" i="24" s="1"/>
  <c r="F38" i="6"/>
  <c r="F48" i="6"/>
  <c r="T41" i="24" s="1"/>
  <c r="T51" i="24"/>
  <c r="F71" i="6"/>
  <c r="T64" i="24" s="1"/>
  <c r="F75" i="6"/>
  <c r="T68" i="24" s="1"/>
  <c r="B85" i="6"/>
  <c r="P77" i="24" s="1"/>
  <c r="B93" i="6"/>
  <c r="P85" i="24" s="1"/>
  <c r="B103" i="6"/>
  <c r="B113" i="6"/>
  <c r="P105" i="24" s="1"/>
  <c r="B123" i="6"/>
  <c r="P115" i="24" s="1"/>
  <c r="B133" i="6"/>
  <c r="P125" i="24" s="1"/>
  <c r="B146" i="6"/>
  <c r="P138" i="24" s="1"/>
  <c r="B150" i="6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Q5" i="24"/>
  <c r="R5" i="24"/>
  <c r="S5" i="24"/>
  <c r="T5" i="24"/>
  <c r="Q6" i="24"/>
  <c r="R6" i="24"/>
  <c r="S6" i="24"/>
  <c r="T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Q10" i="24"/>
  <c r="R10" i="24"/>
  <c r="S10" i="24"/>
  <c r="T10" i="24"/>
  <c r="Q11" i="24"/>
  <c r="S11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Q22" i="24"/>
  <c r="R22" i="24"/>
  <c r="S22" i="24"/>
  <c r="T22" i="24"/>
  <c r="U22" i="24"/>
  <c r="Q23" i="24"/>
  <c r="R23" i="24"/>
  <c r="S23" i="24"/>
  <c r="T23" i="24"/>
  <c r="Q24" i="24"/>
  <c r="R24" i="24"/>
  <c r="S24" i="24"/>
  <c r="T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U42" i="24"/>
  <c r="Q43" i="24"/>
  <c r="R43" i="24"/>
  <c r="S43" i="24"/>
  <c r="T43" i="24"/>
  <c r="Q44" i="24"/>
  <c r="R44" i="24"/>
  <c r="S44" i="24"/>
  <c r="T44" i="24"/>
  <c r="Q45" i="24"/>
  <c r="R45" i="24"/>
  <c r="S45" i="24"/>
  <c r="T45" i="24"/>
  <c r="Q46" i="24"/>
  <c r="R46" i="24"/>
  <c r="S46" i="24"/>
  <c r="T46" i="24"/>
  <c r="Q47" i="24"/>
  <c r="R47" i="24"/>
  <c r="S47" i="24"/>
  <c r="T47" i="24"/>
  <c r="U47" i="24"/>
  <c r="Q48" i="24"/>
  <c r="R48" i="24"/>
  <c r="S48" i="24"/>
  <c r="T48" i="24"/>
  <c r="Q49" i="24"/>
  <c r="R49" i="24"/>
  <c r="S49" i="24"/>
  <c r="T49" i="24"/>
  <c r="Q50" i="24"/>
  <c r="R50" i="24"/>
  <c r="S50" i="24"/>
  <c r="T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R55" i="24"/>
  <c r="T55" i="24"/>
  <c r="Q56" i="24"/>
  <c r="R56" i="24"/>
  <c r="S56" i="24"/>
  <c r="T56" i="24"/>
  <c r="U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Q62" i="24"/>
  <c r="R62" i="24"/>
  <c r="S62" i="24"/>
  <c r="T62" i="24"/>
  <c r="Q63" i="24"/>
  <c r="R63" i="24"/>
  <c r="S63" i="24"/>
  <c r="T63" i="24"/>
  <c r="U63" i="24"/>
  <c r="Q65" i="24"/>
  <c r="R65" i="24"/>
  <c r="S65" i="24"/>
  <c r="T65" i="24"/>
  <c r="Q66" i="24"/>
  <c r="R66" i="24"/>
  <c r="S66" i="24"/>
  <c r="T66" i="24"/>
  <c r="Q67" i="24"/>
  <c r="R67" i="24"/>
  <c r="S67" i="24"/>
  <c r="T67" i="24"/>
  <c r="U67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Q74" i="24"/>
  <c r="R74" i="24"/>
  <c r="S74" i="24"/>
  <c r="T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5" i="20"/>
  <c r="U9" i="20"/>
  <c r="U11" i="20"/>
  <c r="U12" i="20"/>
  <c r="U15" i="20"/>
  <c r="U19" i="20"/>
  <c r="U20" i="20"/>
  <c r="U21" i="20"/>
  <c r="U25" i="20"/>
  <c r="U28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U44" i="20" s="1"/>
  <c r="G53" i="5"/>
  <c r="U45" i="20" s="1"/>
  <c r="U43" i="20"/>
  <c r="G55" i="5"/>
  <c r="G56" i="5"/>
  <c r="G57" i="5"/>
  <c r="U49" i="20" s="1"/>
  <c r="G58" i="5"/>
  <c r="U50" i="20" s="1"/>
  <c r="U47" i="20"/>
  <c r="G60" i="5"/>
  <c r="G61" i="5"/>
  <c r="U53" i="20"/>
  <c r="G62" i="5"/>
  <c r="U54" i="20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T10" i="20" s="1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 s="1"/>
  <c r="D35" i="5"/>
  <c r="R29" i="20" s="1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R37" i="20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R46" i="20"/>
  <c r="E54" i="5"/>
  <c r="S46" i="20" s="1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 s="1"/>
  <c r="P61" i="20"/>
  <c r="B75" i="5"/>
  <c r="P62" i="20" s="1"/>
  <c r="P60" i="20"/>
  <c r="P58" i="20"/>
  <c r="B67" i="5"/>
  <c r="P57" i="20" s="1"/>
  <c r="P37" i="20"/>
  <c r="B59" i="5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B16" i="5"/>
  <c r="B28" i="5"/>
  <c r="P22" i="20" s="1"/>
  <c r="B35" i="5"/>
  <c r="P29" i="20" s="1"/>
  <c r="B37" i="5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E6" i="1" s="1"/>
  <c r="F18" i="23"/>
  <c r="K6" i="3" s="1"/>
  <c r="E18" i="23"/>
  <c r="J6" i="3" s="1"/>
  <c r="D18" i="23"/>
  <c r="I6" i="3" s="1"/>
  <c r="F6" i="1"/>
  <c r="B6" i="1"/>
  <c r="E5" i="13"/>
  <c r="C5" i="13"/>
  <c r="E5" i="12"/>
  <c r="C5" i="12"/>
  <c r="F5" i="12"/>
  <c r="I25" i="23"/>
  <c r="D23" i="23"/>
  <c r="B6" i="11" s="1"/>
  <c r="I23" i="23"/>
  <c r="G6" i="11" s="1"/>
  <c r="H23" i="23"/>
  <c r="F6" i="11" s="1"/>
  <c r="G23" i="23"/>
  <c r="E6" i="11" s="1"/>
  <c r="F23" i="23"/>
  <c r="D6" i="10" s="1"/>
  <c r="E23" i="23"/>
  <c r="C6" i="11" s="1"/>
  <c r="F6" i="10"/>
  <c r="E6" i="10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I8" i="3"/>
  <c r="W3" i="17" s="1"/>
  <c r="H14" i="3"/>
  <c r="V4" i="17" s="1"/>
  <c r="G14" i="3"/>
  <c r="U4" i="17" s="1"/>
  <c r="E14" i="3"/>
  <c r="K8" i="3"/>
  <c r="J8" i="3"/>
  <c r="H8" i="3"/>
  <c r="G8" i="3"/>
  <c r="E8" i="3"/>
  <c r="S3" i="17" s="1"/>
  <c r="F41" i="2"/>
  <c r="E41" i="2"/>
  <c r="S17" i="16" s="1"/>
  <c r="D41" i="2"/>
  <c r="R17" i="16" s="1"/>
  <c r="C41" i="2"/>
  <c r="Q17" i="16" s="1"/>
  <c r="H27" i="2"/>
  <c r="V15" i="16" s="1"/>
  <c r="G27" i="2"/>
  <c r="U15" i="16" s="1"/>
  <c r="F27" i="2"/>
  <c r="E27" i="2"/>
  <c r="D27" i="2"/>
  <c r="C27" i="2"/>
  <c r="Q15" i="16" s="1"/>
  <c r="B41" i="2"/>
  <c r="P17" i="16" s="1"/>
  <c r="B27" i="2"/>
  <c r="H22" i="2"/>
  <c r="G22" i="2"/>
  <c r="U14" i="16" s="1"/>
  <c r="F22" i="2"/>
  <c r="E22" i="2"/>
  <c r="T14" i="16" s="1"/>
  <c r="D22" i="2"/>
  <c r="C22" i="2"/>
  <c r="Q14" i="16" s="1"/>
  <c r="B22" i="2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4" i="4"/>
  <c r="P32" i="18"/>
  <c r="B55" i="4"/>
  <c r="P30" i="18"/>
  <c r="B49" i="4"/>
  <c r="P27" i="18" s="1"/>
  <c r="P26" i="18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Q71" i="15" s="1"/>
  <c r="F27" i="1"/>
  <c r="Q76" i="15" s="1"/>
  <c r="F31" i="1"/>
  <c r="Q80" i="15" s="1"/>
  <c r="F38" i="1"/>
  <c r="Q87" i="15" s="1"/>
  <c r="F42" i="1"/>
  <c r="F63" i="1"/>
  <c r="Q106" i="15" s="1"/>
  <c r="Q107" i="15"/>
  <c r="Q108" i="15"/>
  <c r="Q109" i="15"/>
  <c r="F68" i="1"/>
  <c r="Q111" i="15"/>
  <c r="Q112" i="15"/>
  <c r="Q113" i="15"/>
  <c r="Q114" i="15"/>
  <c r="Q115" i="15"/>
  <c r="F75" i="1"/>
  <c r="Q116" i="15"/>
  <c r="Q117" i="15"/>
  <c r="Q118" i="15"/>
  <c r="P57" i="15"/>
  <c r="E19" i="1"/>
  <c r="P67" i="15" s="1"/>
  <c r="E23" i="1"/>
  <c r="E27" i="1"/>
  <c r="P76" i="15" s="1"/>
  <c r="E31" i="1"/>
  <c r="P80" i="15" s="1"/>
  <c r="E38" i="1"/>
  <c r="P87" i="15" s="1"/>
  <c r="E42" i="1"/>
  <c r="P91" i="15" s="1"/>
  <c r="E57" i="1"/>
  <c r="P103" i="15" s="1"/>
  <c r="E63" i="1"/>
  <c r="P106" i="15" s="1"/>
  <c r="E68" i="1"/>
  <c r="P110" i="15" s="1"/>
  <c r="E75" i="1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Q91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Q34" i="15" s="1"/>
  <c r="C41" i="1"/>
  <c r="Q37" i="15" s="1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 s="1"/>
  <c r="P35" i="15"/>
  <c r="P36" i="15"/>
  <c r="B41" i="1"/>
  <c r="P37" i="15" s="1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Q37" i="18"/>
  <c r="R37" i="18"/>
  <c r="Q36" i="18"/>
  <c r="R36" i="18"/>
  <c r="C64" i="4"/>
  <c r="D64" i="4"/>
  <c r="R33" i="18" s="1"/>
  <c r="Q32" i="18"/>
  <c r="R32" i="18"/>
  <c r="Q31" i="18"/>
  <c r="R26" i="18"/>
  <c r="C49" i="4"/>
  <c r="Q27" i="18" s="1"/>
  <c r="D49" i="4"/>
  <c r="R27" i="18" s="1"/>
  <c r="C29" i="4"/>
  <c r="Q15" i="18" s="1"/>
  <c r="D29" i="4"/>
  <c r="C40" i="4"/>
  <c r="D40" i="4"/>
  <c r="R22" i="18" s="1"/>
  <c r="C37" i="4"/>
  <c r="Q19" i="18" s="1"/>
  <c r="D37" i="4"/>
  <c r="R19" i="18" s="1"/>
  <c r="C17" i="4"/>
  <c r="C13" i="4"/>
  <c r="Q6" i="18" s="1"/>
  <c r="D13" i="4"/>
  <c r="R6" i="18" s="1"/>
  <c r="W4" i="17"/>
  <c r="S4" i="17"/>
  <c r="T17" i="16"/>
  <c r="R15" i="16"/>
  <c r="S15" i="16"/>
  <c r="T15" i="16"/>
  <c r="P15" i="16"/>
  <c r="R14" i="16"/>
  <c r="V14" i="16"/>
  <c r="P14" i="16"/>
  <c r="C13" i="2"/>
  <c r="Q8" i="16" s="1"/>
  <c r="D13" i="2"/>
  <c r="R8" i="16" s="1"/>
  <c r="E13" i="2"/>
  <c r="S8" i="16" s="1"/>
  <c r="F13" i="2"/>
  <c r="T8" i="16" s="1"/>
  <c r="G13" i="2"/>
  <c r="U8" i="16" s="1"/>
  <c r="H13" i="2"/>
  <c r="V8" i="16" s="1"/>
  <c r="B13" i="2"/>
  <c r="P8" i="16" s="1"/>
  <c r="C9" i="2"/>
  <c r="Q4" i="16" s="1"/>
  <c r="D9" i="2"/>
  <c r="R4" i="16" s="1"/>
  <c r="E9" i="2"/>
  <c r="S4" i="16" s="1"/>
  <c r="F9" i="2"/>
  <c r="T4" i="16" s="1"/>
  <c r="G9" i="2"/>
  <c r="U4" i="16" s="1"/>
  <c r="H9" i="2"/>
  <c r="V4" i="16" s="1"/>
  <c r="B9" i="2"/>
  <c r="P4" i="16" s="1"/>
  <c r="P4" i="15"/>
  <c r="Q30" i="18"/>
  <c r="Q9" i="18"/>
  <c r="Q22" i="18"/>
  <c r="R31" i="18"/>
  <c r="R15" i="18"/>
  <c r="Q33" i="18"/>
  <c r="S14" i="16"/>
  <c r="H8" i="2"/>
  <c r="H20" i="2" s="1"/>
  <c r="V13" i="16" s="1"/>
  <c r="Q67" i="15"/>
  <c r="U3" i="17"/>
  <c r="Q2" i="25"/>
  <c r="G71" i="8" l="1"/>
  <c r="U63" i="26" s="1"/>
  <c r="F79" i="1"/>
  <c r="Q119" i="15" s="1"/>
  <c r="B6" i="10"/>
  <c r="B5" i="12"/>
  <c r="D5" i="12"/>
  <c r="G71" i="6"/>
  <c r="U64" i="24" s="1"/>
  <c r="F9" i="9"/>
  <c r="T2" i="27" s="1"/>
  <c r="B32" i="10"/>
  <c r="P23" i="28" s="1"/>
  <c r="E32" i="10"/>
  <c r="S23" i="28" s="1"/>
  <c r="G150" i="6"/>
  <c r="U142" i="24" s="1"/>
  <c r="G37" i="8"/>
  <c r="U30" i="26" s="1"/>
  <c r="G44" i="8"/>
  <c r="U36" i="26" s="1"/>
  <c r="G146" i="6"/>
  <c r="U138" i="24" s="1"/>
  <c r="G75" i="6"/>
  <c r="U68" i="24" s="1"/>
  <c r="B41" i="5"/>
  <c r="U30" i="20"/>
  <c r="C47" i="1"/>
  <c r="Q42" i="15" s="1"/>
  <c r="C29" i="13"/>
  <c r="Q22" i="31" s="1"/>
  <c r="B29" i="13"/>
  <c r="P22" i="31" s="1"/>
  <c r="G24" i="9"/>
  <c r="U16" i="27" s="1"/>
  <c r="E8" i="2"/>
  <c r="E20" i="2" s="1"/>
  <c r="S13" i="16" s="1"/>
  <c r="V3" i="16"/>
  <c r="Q110" i="15"/>
  <c r="G59" i="5"/>
  <c r="U51" i="20" s="1"/>
  <c r="P21" i="28"/>
  <c r="C32" i="10"/>
  <c r="Q23" i="28" s="1"/>
  <c r="Q2" i="29"/>
  <c r="E30" i="11"/>
  <c r="S22" i="29" s="1"/>
  <c r="U78" i="24"/>
  <c r="G85" i="6"/>
  <c r="D8" i="2"/>
  <c r="G8" i="2"/>
  <c r="U3" i="16" s="1"/>
  <c r="F30" i="11"/>
  <c r="T22" i="29" s="1"/>
  <c r="D30" i="11"/>
  <c r="R22" i="29" s="1"/>
  <c r="G10" i="6"/>
  <c r="U3" i="24" s="1"/>
  <c r="G75" i="5"/>
  <c r="U62" i="20" s="1"/>
  <c r="J20" i="3"/>
  <c r="X5" i="17" s="1"/>
  <c r="G20" i="3"/>
  <c r="U5" i="17" s="1"/>
  <c r="K14" i="3"/>
  <c r="Y4" i="17" s="1"/>
  <c r="I20" i="3"/>
  <c r="W5" i="17" s="1"/>
  <c r="F8" i="2"/>
  <c r="F20" i="2" s="1"/>
  <c r="T13" i="16" s="1"/>
  <c r="G20" i="2"/>
  <c r="U13" i="16" s="1"/>
  <c r="E79" i="1"/>
  <c r="P119" i="15" s="1"/>
  <c r="F47" i="1"/>
  <c r="Q95" i="15" s="1"/>
  <c r="B47" i="1"/>
  <c r="B62" i="1" s="1"/>
  <c r="P54" i="15" s="1"/>
  <c r="E21" i="9"/>
  <c r="E9" i="9"/>
  <c r="S2" i="27" s="1"/>
  <c r="G16" i="9"/>
  <c r="U9" i="27" s="1"/>
  <c r="C9" i="9"/>
  <c r="Q2" i="27" s="1"/>
  <c r="B9" i="9"/>
  <c r="P2" i="27" s="1"/>
  <c r="D9" i="9"/>
  <c r="R2" i="27" s="1"/>
  <c r="U66" i="26"/>
  <c r="G53" i="8"/>
  <c r="U45" i="26" s="1"/>
  <c r="C43" i="8"/>
  <c r="G27" i="8"/>
  <c r="U20" i="26" s="1"/>
  <c r="U21" i="26"/>
  <c r="G19" i="8"/>
  <c r="U12" i="26" s="1"/>
  <c r="F9" i="8"/>
  <c r="T2" i="26" s="1"/>
  <c r="D9" i="8"/>
  <c r="R2" i="26" s="1"/>
  <c r="B9" i="8"/>
  <c r="P2" i="26" s="1"/>
  <c r="C29" i="7"/>
  <c r="Q4" i="25" s="1"/>
  <c r="G29" i="7"/>
  <c r="U4" i="25" s="1"/>
  <c r="D29" i="7"/>
  <c r="R4" i="25" s="1"/>
  <c r="F29" i="7"/>
  <c r="T4" i="25" s="1"/>
  <c r="B29" i="7"/>
  <c r="P4" i="25" s="1"/>
  <c r="U147" i="24"/>
  <c r="U140" i="24"/>
  <c r="G133" i="6"/>
  <c r="U125" i="24" s="1"/>
  <c r="G123" i="6"/>
  <c r="U115" i="24" s="1"/>
  <c r="G113" i="6"/>
  <c r="U105" i="24" s="1"/>
  <c r="C84" i="6"/>
  <c r="Q76" i="24" s="1"/>
  <c r="E84" i="6"/>
  <c r="S76" i="24" s="1"/>
  <c r="B84" i="6"/>
  <c r="P76" i="24" s="1"/>
  <c r="G93" i="6"/>
  <c r="U85" i="24" s="1"/>
  <c r="E9" i="6"/>
  <c r="U73" i="24"/>
  <c r="F9" i="6"/>
  <c r="T2" i="24" s="1"/>
  <c r="G58" i="6"/>
  <c r="U51" i="24" s="1"/>
  <c r="G48" i="6"/>
  <c r="U41" i="24" s="1"/>
  <c r="U44" i="24"/>
  <c r="G38" i="6"/>
  <c r="U31" i="24" s="1"/>
  <c r="T31" i="24"/>
  <c r="U32" i="24"/>
  <c r="G28" i="6"/>
  <c r="U21" i="24" s="1"/>
  <c r="S2" i="24"/>
  <c r="C57" i="4"/>
  <c r="C59" i="4" s="1"/>
  <c r="D44" i="4"/>
  <c r="B44" i="4"/>
  <c r="C44" i="4"/>
  <c r="Q5" i="18" s="1"/>
  <c r="D72" i="4"/>
  <c r="R38" i="18" s="1"/>
  <c r="B72" i="4"/>
  <c r="P38" i="18" s="1"/>
  <c r="C72" i="4"/>
  <c r="Q38" i="18" s="1"/>
  <c r="D57" i="4"/>
  <c r="D59" i="4" s="1"/>
  <c r="G37" i="5"/>
  <c r="U31" i="20" s="1"/>
  <c r="G45" i="5"/>
  <c r="U37" i="20" s="1"/>
  <c r="F65" i="5"/>
  <c r="T56" i="20" s="1"/>
  <c r="E65" i="5"/>
  <c r="S56" i="20" s="1"/>
  <c r="C65" i="5"/>
  <c r="Q56" i="20" s="1"/>
  <c r="D65" i="5"/>
  <c r="R56" i="20" s="1"/>
  <c r="B65" i="5"/>
  <c r="P56" i="20" s="1"/>
  <c r="F41" i="5"/>
  <c r="C41" i="5"/>
  <c r="Q34" i="20" s="1"/>
  <c r="E41" i="5"/>
  <c r="T2" i="25"/>
  <c r="X3" i="17"/>
  <c r="E20" i="3"/>
  <c r="S5" i="17" s="1"/>
  <c r="Q3" i="25"/>
  <c r="U2" i="25"/>
  <c r="H20" i="3"/>
  <c r="V5" i="17" s="1"/>
  <c r="D6" i="11"/>
  <c r="A2" i="12"/>
  <c r="A2" i="13"/>
  <c r="A2" i="10"/>
  <c r="A2" i="14"/>
  <c r="A2" i="5"/>
  <c r="A2" i="1"/>
  <c r="D8" i="4"/>
  <c r="R5" i="18"/>
  <c r="P5" i="18"/>
  <c r="B8" i="4"/>
  <c r="B74" i="4"/>
  <c r="P39" i="18" s="1"/>
  <c r="P45" i="26"/>
  <c r="B43" i="8"/>
  <c r="T45" i="26"/>
  <c r="E9" i="8"/>
  <c r="S2" i="26" s="1"/>
  <c r="S12" i="26"/>
  <c r="V3" i="17"/>
  <c r="T3" i="16"/>
  <c r="Y3" i="17"/>
  <c r="P116" i="15"/>
  <c r="E47" i="1"/>
  <c r="B57" i="4"/>
  <c r="B59" i="4" s="1"/>
  <c r="C6" i="10"/>
  <c r="G6" i="10"/>
  <c r="A2" i="2"/>
  <c r="D21" i="9"/>
  <c r="R16" i="27"/>
  <c r="T9" i="27"/>
  <c r="U77" i="24"/>
  <c r="U2" i="31"/>
  <c r="G29" i="13"/>
  <c r="U22" i="31" s="1"/>
  <c r="A2" i="9"/>
  <c r="A2" i="6"/>
  <c r="S3" i="16"/>
  <c r="C8" i="2"/>
  <c r="B8" i="2"/>
  <c r="B20" i="2" s="1"/>
  <c r="Q26" i="18"/>
  <c r="R30" i="18"/>
  <c r="C62" i="1"/>
  <c r="Q54" i="15" s="1"/>
  <c r="P25" i="18"/>
  <c r="A2" i="3"/>
  <c r="A2" i="8"/>
  <c r="U52" i="20"/>
  <c r="C9" i="6"/>
  <c r="R2" i="25"/>
  <c r="S63" i="26"/>
  <c r="E43" i="8"/>
  <c r="B21" i="9"/>
  <c r="P16" i="27"/>
  <c r="P9" i="27"/>
  <c r="R2" i="30"/>
  <c r="D31" i="12"/>
  <c r="R23" i="30" s="1"/>
  <c r="A2" i="4"/>
  <c r="D41" i="5"/>
  <c r="U58" i="20"/>
  <c r="U48" i="20"/>
  <c r="G54" i="5"/>
  <c r="U46" i="20" s="1"/>
  <c r="D9" i="6"/>
  <c r="R21" i="24"/>
  <c r="D84" i="6"/>
  <c r="R76" i="24" s="1"/>
  <c r="R85" i="24"/>
  <c r="E29" i="7"/>
  <c r="S4" i="25" s="1"/>
  <c r="S2" i="25"/>
  <c r="Q35" i="26"/>
  <c r="S13" i="27"/>
  <c r="U2" i="28"/>
  <c r="G32" i="10"/>
  <c r="U23" i="28" s="1"/>
  <c r="G31" i="12"/>
  <c r="U23" i="30" s="1"/>
  <c r="U2" i="30"/>
  <c r="C31" i="12"/>
  <c r="Q23" i="30" s="1"/>
  <c r="Q2" i="30"/>
  <c r="F29" i="13"/>
  <c r="T22" i="31" s="1"/>
  <c r="T2" i="31"/>
  <c r="G18" i="6"/>
  <c r="G103" i="6"/>
  <c r="U95" i="24" s="1"/>
  <c r="G61" i="8"/>
  <c r="U26" i="24"/>
  <c r="U118" i="24"/>
  <c r="F84" i="6"/>
  <c r="T76" i="24" s="1"/>
  <c r="P3" i="25"/>
  <c r="U58" i="26"/>
  <c r="Q12" i="26"/>
  <c r="C9" i="8"/>
  <c r="Q2" i="26" s="1"/>
  <c r="T16" i="27"/>
  <c r="F21" i="9"/>
  <c r="R21" i="28"/>
  <c r="G16" i="5"/>
  <c r="G62" i="6"/>
  <c r="U55" i="24" s="1"/>
  <c r="G137" i="6"/>
  <c r="U129" i="24" s="1"/>
  <c r="B9" i="6"/>
  <c r="G12" i="9"/>
  <c r="U7" i="27"/>
  <c r="G21" i="9"/>
  <c r="U53" i="24"/>
  <c r="U46" i="26"/>
  <c r="D43" i="8"/>
  <c r="C21" i="9"/>
  <c r="Q16" i="27"/>
  <c r="F32" i="10"/>
  <c r="T23" i="28" s="1"/>
  <c r="F31" i="12"/>
  <c r="T23" i="30" s="1"/>
  <c r="B31" i="12"/>
  <c r="P23" i="30" s="1"/>
  <c r="P2" i="31"/>
  <c r="G28" i="5"/>
  <c r="U22" i="20" s="1"/>
  <c r="G10" i="8"/>
  <c r="T2" i="29"/>
  <c r="P2" i="30"/>
  <c r="K20" i="3" l="1"/>
  <c r="Y5" i="17" s="1"/>
  <c r="D20" i="2"/>
  <c r="R13" i="16" s="1"/>
  <c r="R3" i="16"/>
  <c r="R25" i="18"/>
  <c r="F59" i="1"/>
  <c r="Q104" i="15" s="1"/>
  <c r="P42" i="15"/>
  <c r="E33" i="9"/>
  <c r="S24" i="27" s="1"/>
  <c r="E159" i="6"/>
  <c r="S150" i="24" s="1"/>
  <c r="D74" i="4"/>
  <c r="R39" i="18" s="1"/>
  <c r="C8" i="4"/>
  <c r="Q2" i="18" s="1"/>
  <c r="Q25" i="18"/>
  <c r="C74" i="4"/>
  <c r="Q39" i="18" s="1"/>
  <c r="B70" i="5"/>
  <c r="E70" i="5"/>
  <c r="P34" i="20"/>
  <c r="T34" i="20"/>
  <c r="F70" i="5"/>
  <c r="C70" i="5"/>
  <c r="S34" i="20"/>
  <c r="P2" i="24"/>
  <c r="B159" i="6"/>
  <c r="P150" i="24" s="1"/>
  <c r="P13" i="27"/>
  <c r="B33" i="9"/>
  <c r="P24" i="27" s="1"/>
  <c r="C33" i="9"/>
  <c r="Q24" i="27" s="1"/>
  <c r="Q13" i="27"/>
  <c r="U13" i="27"/>
  <c r="F33" i="9"/>
  <c r="T24" i="27" s="1"/>
  <c r="T13" i="27"/>
  <c r="S35" i="26"/>
  <c r="E77" i="8"/>
  <c r="S68" i="26" s="1"/>
  <c r="F159" i="6"/>
  <c r="T150" i="24" s="1"/>
  <c r="G84" i="6"/>
  <c r="U76" i="24" s="1"/>
  <c r="R13" i="27"/>
  <c r="D33" i="9"/>
  <c r="R24" i="27" s="1"/>
  <c r="B77" i="8"/>
  <c r="P68" i="26" s="1"/>
  <c r="P35" i="26"/>
  <c r="D21" i="4"/>
  <c r="R2" i="18"/>
  <c r="Q2" i="24"/>
  <c r="C159" i="6"/>
  <c r="Q150" i="24" s="1"/>
  <c r="G9" i="8"/>
  <c r="U2" i="26" s="1"/>
  <c r="U3" i="26"/>
  <c r="D77" i="8"/>
  <c r="R68" i="26" s="1"/>
  <c r="R35" i="26"/>
  <c r="U53" i="26"/>
  <c r="G43" i="8"/>
  <c r="D159" i="6"/>
  <c r="R150" i="24" s="1"/>
  <c r="R2" i="24"/>
  <c r="R34" i="20"/>
  <c r="D70" i="5"/>
  <c r="P13" i="16"/>
  <c r="P3" i="16"/>
  <c r="G65" i="5"/>
  <c r="U56" i="20" s="1"/>
  <c r="B21" i="4"/>
  <c r="P2" i="18"/>
  <c r="C21" i="4"/>
  <c r="U11" i="24"/>
  <c r="G9" i="6"/>
  <c r="E59" i="1"/>
  <c r="E81" i="1" s="1"/>
  <c r="P95" i="15"/>
  <c r="G9" i="9"/>
  <c r="U2" i="27" s="1"/>
  <c r="U5" i="27"/>
  <c r="U10" i="20"/>
  <c r="G41" i="5"/>
  <c r="C77" i="8"/>
  <c r="Q68" i="26" s="1"/>
  <c r="Q3" i="16"/>
  <c r="C20" i="2"/>
  <c r="Q13" i="16" s="1"/>
  <c r="F81" i="1" l="1"/>
  <c r="Q120" i="15" s="1"/>
  <c r="P120" i="15"/>
  <c r="P104" i="15"/>
  <c r="G159" i="6"/>
  <c r="U150" i="24" s="1"/>
  <c r="U2" i="24"/>
  <c r="B23" i="4"/>
  <c r="P12" i="18"/>
  <c r="G77" i="8"/>
  <c r="U68" i="26" s="1"/>
  <c r="U35" i="26"/>
  <c r="C23" i="4"/>
  <c r="Q12" i="18"/>
  <c r="G42" i="5"/>
  <c r="U35" i="20" s="1"/>
  <c r="G70" i="5"/>
  <c r="U34" i="20"/>
  <c r="R12" i="18"/>
  <c r="D23" i="4"/>
  <c r="G33" i="9"/>
  <c r="U24" i="27" s="1"/>
  <c r="D25" i="4" l="1"/>
  <c r="R13" i="18"/>
  <c r="Q13" i="18"/>
  <c r="C25" i="4"/>
  <c r="B25" i="4"/>
  <c r="P13" i="18"/>
  <c r="B33" i="4" l="1"/>
  <c r="P18" i="18" s="1"/>
  <c r="P14" i="18"/>
  <c r="C33" i="4"/>
  <c r="Q18" i="18" s="1"/>
  <c r="Q14" i="18"/>
  <c r="R14" i="18"/>
  <c r="D33" i="4"/>
  <c r="R18" i="18" s="1"/>
  <c r="T36" i="26"/>
  <c r="F43" i="8"/>
  <c r="T35" i="26" s="1"/>
  <c r="F77" i="8" l="1"/>
  <c r="T68" i="26" s="1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<sst xmlns="http://schemas.openxmlformats.org/spreadsheetml/2006/main" count="4243" uniqueCount="3305">
  <si>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</si>
  <si>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</si>
  <si>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</si>
  <si>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</si>
  <si>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</si>
  <si>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</si>
  <si>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</si>
  <si>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</si>
  <si>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</si>
  <si>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</si>
  <si>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</si>
  <si>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</si>
  <si>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</si>
  <si>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</si>
  <si>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</si>
  <si>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</si>
  <si>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</si>
  <si>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</si>
  <si>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</si>
  <si>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</si>
  <si>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</si>
  <si>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</si>
  <si>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</si>
  <si>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</si>
  <si>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</si>
  <si>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</si>
  <si>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</si>
  <si>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</si>
  <si>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</si>
  <si>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</si>
  <si>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</si>
  <si>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</si>
  <si>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</si>
  <si>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</si>
  <si>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</si>
  <si>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</si>
  <si>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</si>
  <si>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</si>
  <si>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</si>
  <si>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</si>
  <si>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</si>
  <si>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</si>
  <si>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</si>
  <si>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</si>
  <si>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</si>
  <si>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</si>
  <si>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</si>
  <si>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</si>
  <si>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</si>
  <si>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</si>
  <si>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</si>
  <si>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</si>
  <si>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</si>
  <si>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</si>
  <si>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</si>
  <si>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</si>
  <si>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</si>
  <si>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</si>
  <si>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</si>
  <si>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</si>
  <si>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</si>
  <si>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</si>
  <si>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</si>
  <si>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</si>
  <si>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</si>
  <si>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</si>
  <si>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</si>
  <si>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</si>
  <si>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</si>
  <si>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</si>
  <si>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</si>
  <si>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</si>
  <si>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</si>
  <si>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</si>
  <si>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</si>
  <si>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</si>
  <si>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</si>
  <si>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</si>
  <si>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</si>
  <si>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</si>
  <si>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</si>
  <si>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</si>
  <si>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</si>
  <si>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</si>
  <si>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</si>
  <si>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</si>
  <si>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</si>
  <si>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</si>
  <si>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</si>
  <si>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</si>
  <si>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</si>
  <si>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</si>
  <si>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</si>
  <si>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</si>
  <si>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</si>
  <si>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</si>
  <si>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</si>
  <si>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</si>
  <si>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</si>
  <si>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</si>
  <si>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</si>
  <si>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</si>
  <si>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</si>
  <si>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</si>
  <si>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</si>
  <si>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</si>
  <si>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</si>
  <si>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</si>
  <si>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</si>
  <si>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</si>
  <si>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</si>
  <si>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</si>
  <si>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</si>
  <si>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</si>
  <si>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</si>
  <si>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</si>
  <si>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</si>
  <si>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</si>
  <si>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</si>
  <si>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</si>
  <si>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</si>
  <si>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</si>
  <si>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</si>
  <si>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</si>
  <si>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</si>
  <si>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</si>
  <si>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</si>
  <si>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</si>
  <si>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</si>
  <si>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</si>
  <si>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</si>
  <si>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</si>
  <si>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</si>
  <si>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</si>
  <si>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</si>
  <si>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</si>
  <si>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</si>
  <si>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</si>
  <si>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</si>
  <si>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</si>
  <si>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</si>
  <si>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</si>
  <si>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</si>
  <si>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</si>
  <si>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</si>
  <si>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</si>
  <si>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</si>
  <si>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</si>
  <si>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</si>
  <si>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</si>
  <si>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</si>
  <si>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</si>
  <si>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</si>
  <si>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</si>
  <si>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</si>
  <si>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</si>
  <si>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</si>
  <si>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</si>
  <si>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</si>
  <si>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</si>
  <si>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</si>
  <si>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</si>
  <si>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</si>
  <si>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</si>
  <si>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</si>
  <si>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</si>
  <si>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</si>
  <si>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</si>
  <si>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</si>
  <si>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</si>
  <si>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</si>
  <si>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</si>
  <si>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</si>
  <si>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</si>
  <si>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</si>
  <si>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</si>
  <si>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</si>
  <si>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</si>
  <si>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</si>
  <si>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</si>
  <si>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</si>
  <si>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</si>
  <si>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</si>
  <si>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</si>
  <si>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</si>
  <si>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</si>
  <si>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</si>
  <si>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</si>
  <si>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</si>
  <si>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</si>
  <si>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</si>
  <si>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</si>
  <si>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</si>
  <si>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</si>
  <si>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</si>
  <si>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</si>
  <si>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</si>
  <si>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</si>
  <si>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</si>
  <si>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</si>
  <si>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</si>
  <si>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</si>
  <si>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</si>
  <si>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</si>
  <si>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</si>
  <si>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</si>
  <si>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</si>
  <si>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</si>
  <si>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</si>
  <si>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</si>
  <si>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</si>
  <si>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</si>
  <si>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</si>
  <si>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</si>
  <si>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</si>
  <si>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</si>
  <si>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</si>
  <si>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</si>
  <si>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</si>
  <si>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</si>
  <si>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</si>
  <si>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</si>
  <si>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</si>
  <si>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</si>
  <si>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</si>
  <si>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</si>
  <si>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</si>
  <si>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</si>
  <si>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</si>
  <si>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</si>
  <si>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</si>
  <si>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</si>
  <si>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</si>
  <si>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</si>
  <si>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</si>
  <si>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</si>
  <si>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</si>
  <si>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</si>
  <si>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</si>
  <si>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</si>
  <si>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</si>
  <si>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</si>
  <si>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</si>
  <si>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</si>
  <si>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</si>
  <si>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</si>
  <si>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</si>
  <si>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</si>
  <si>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</si>
  <si>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</si>
  <si>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</si>
  <si>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</si>
  <si>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</si>
  <si>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</si>
  <si>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</si>
  <si>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</si>
  <si>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</si>
  <si>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</si>
  <si>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</si>
  <si>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</si>
  <si>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</si>
  <si>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</si>
  <si>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</si>
  <si>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</si>
  <si>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</si>
  <si>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</si>
  <si>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</si>
  <si>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</si>
  <si>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</si>
  <si>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</si>
  <si>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</si>
  <si>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</si>
  <si>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</si>
  <si>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</si>
  <si>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</si>
  <si>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</si>
  <si>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</si>
  <si>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</si>
  <si>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</si>
  <si>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</si>
  <si>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</si>
  <si>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</si>
  <si>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</si>
  <si>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</si>
  <si>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</si>
  <si>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</si>
  <si>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</si>
  <si>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</si>
  <si>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</si>
  <si>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</si>
  <si>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</si>
  <si>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</si>
  <si>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</si>
  <si>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</si>
  <si>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</si>
  <si>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</si>
  <si>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</si>
  <si>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</si>
  <si>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</si>
  <si>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</si>
  <si>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</si>
  <si>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</si>
  <si>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</si>
  <si>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</si>
  <si>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</si>
  <si>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</si>
  <si>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</si>
  <si>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</si>
  <si>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</si>
  <si>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</si>
  <si>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</si>
  <si>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</si>
  <si>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</si>
  <si>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</si>
  <si>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</si>
  <si>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</si>
  <si>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</si>
  <si>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</si>
  <si>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</si>
  <si>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</si>
  <si>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</si>
  <si>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</si>
  <si>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</si>
  <si>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</si>
  <si>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</si>
  <si>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</si>
  <si>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</si>
  <si>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</si>
  <si>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</si>
  <si>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</si>
  <si>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</si>
  <si>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</si>
  <si>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</si>
  <si>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</si>
  <si>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</si>
  <si>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</si>
  <si>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</si>
  <si>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</si>
  <si>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</si>
  <si>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</si>
  <si>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</si>
  <si>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</si>
  <si>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</si>
  <si>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</si>
  <si>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</si>
  <si>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</si>
  <si>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</si>
  <si>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</si>
  <si>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</si>
  <si>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</si>
  <si>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</si>
  <si>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</si>
  <si>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</si>
  <si>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</si>
  <si>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</si>
  <si>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</si>
  <si>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</si>
  <si>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</si>
  <si>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</si>
  <si>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</si>
  <si>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</si>
  <si>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</si>
  <si>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</si>
  <si>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</si>
  <si>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</si>
  <si>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</si>
  <si>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</si>
  <si>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</si>
  <si>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</si>
  <si>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</si>
  <si>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</si>
  <si>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</si>
  <si>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</si>
  <si>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</si>
  <si>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</si>
  <si>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</si>
  <si>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</si>
  <si>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</si>
  <si>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</si>
  <si>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</si>
  <si>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</si>
  <si>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</si>
  <si>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</si>
  <si>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</si>
  <si>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</si>
  <si>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</si>
  <si>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</si>
  <si>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</si>
  <si>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</si>
  <si>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</si>
  <si>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</si>
  <si>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</si>
  <si>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</si>
  <si>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</si>
  <si>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</si>
  <si>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</si>
  <si>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</si>
  <si>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</si>
  <si>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</si>
  <si>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</si>
  <si>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</si>
  <si>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</si>
  <si>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</si>
  <si>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</si>
  <si>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</si>
  <si>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</si>
  <si>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</si>
  <si>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</si>
  <si>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</si>
  <si>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</si>
  <si>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</si>
  <si>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</si>
  <si>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</si>
  <si>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</si>
  <si>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</si>
  <si>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</si>
  <si>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</si>
  <si>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</si>
  <si>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</si>
  <si>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</si>
  <si>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</si>
  <si>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</si>
  <si>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</si>
  <si>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</si>
  <si>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</si>
  <si>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</si>
  <si>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</si>
  <si>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</si>
  <si>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</si>
  <si>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</si>
  <si>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</si>
  <si>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</si>
  <si>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</si>
  <si>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</si>
  <si>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</si>
  <si>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</si>
  <si>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</si>
  <si>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</si>
  <si>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</si>
  <si>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</si>
  <si>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</si>
  <si>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</si>
  <si>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</si>
  <si>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</si>
  <si>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</si>
  <si>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</si>
  <si>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</si>
  <si>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</si>
  <si>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</si>
  <si>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</si>
  <si>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</si>
  <si>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</si>
  <si>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</si>
  <si>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</si>
  <si>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</si>
  <si>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</si>
  <si>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</si>
  <si>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</si>
  <si>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</si>
  <si>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</si>
  <si>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</si>
  <si>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</si>
  <si>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</si>
  <si>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</si>
  <si>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</si>
  <si>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</si>
  <si>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</si>
  <si>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</si>
  <si>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</si>
  <si>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</si>
  <si>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</si>
  <si>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</si>
  <si>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</si>
  <si>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</si>
  <si>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</si>
  <si>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</si>
  <si>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</si>
  <si>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</si>
  <si>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</si>
  <si>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</si>
  <si>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</si>
  <si>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</si>
  <si>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</si>
  <si>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</si>
  <si>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</si>
  <si>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</si>
  <si>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</si>
  <si>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</si>
  <si>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</si>
  <si>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</si>
  <si>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</si>
  <si>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</si>
  <si>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</si>
  <si>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</si>
  <si>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</si>
  <si>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</si>
  <si>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</si>
  <si>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</si>
  <si>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</si>
  <si>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</si>
  <si>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</si>
  <si>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</si>
  <si>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</si>
  <si>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</si>
  <si>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</si>
  <si>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</si>
  <si>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</si>
  <si>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</si>
  <si>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</si>
  <si>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</si>
  <si>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</si>
  <si>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</si>
  <si>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</si>
  <si>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</si>
  <si>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</si>
  <si>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</si>
  <si>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</si>
  <si>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</si>
  <si>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</si>
  <si>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</si>
  <si>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</si>
  <si>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</si>
  <si>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</si>
  <si>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</si>
  <si>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</si>
  <si>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</si>
  <si>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</si>
  <si>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</si>
  <si>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</si>
  <si>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</si>
  <si>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</si>
  <si>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</si>
  <si>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</si>
  <si>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</si>
  <si>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</si>
  <si>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</si>
  <si>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</si>
  <si>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</si>
  <si>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</si>
  <si>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</si>
  <si>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</si>
  <si>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</si>
  <si>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</si>
  <si>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</si>
  <si>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</si>
  <si>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</si>
  <si>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</si>
  <si>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</si>
  <si>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</si>
  <si>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</si>
  <si>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</si>
  <si>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</si>
  <si>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</si>
  <si>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</si>
  <si>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</si>
  <si>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</si>
  <si>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</si>
  <si>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</si>
  <si>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</si>
  <si>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</si>
  <si>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</si>
  <si>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</si>
  <si>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</si>
  <si>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</si>
  <si>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</si>
  <si>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</si>
  <si>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</si>
  <si>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</si>
  <si>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</si>
  <si>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</si>
  <si>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</si>
  <si>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</si>
  <si>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</si>
  <si>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</si>
  <si>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</si>
  <si>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</si>
  <si>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</si>
  <si>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</si>
  <si>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</si>
  <si>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</si>
  <si>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</si>
  <si>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</si>
  <si>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</si>
  <si>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</si>
  <si>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</si>
  <si>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</si>
  <si>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</si>
  <si>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</si>
  <si>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</si>
  <si>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</si>
  <si>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</si>
  <si>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</si>
  <si>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</si>
  <si>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</si>
  <si>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</si>
  <si>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</si>
  <si>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</si>
  <si>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</si>
  <si>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</si>
  <si>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</si>
  <si>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</si>
  <si>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</si>
  <si>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</si>
  <si>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</si>
  <si>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</si>
  <si>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</si>
  <si>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</si>
  <si>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</si>
  <si>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</si>
  <si>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</si>
  <si>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</si>
  <si>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</si>
  <si>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</si>
  <si>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</si>
  <si>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</si>
  <si>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</si>
  <si>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</si>
  <si>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</si>
  <si>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</si>
  <si>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</si>
  <si>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</si>
  <si>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</si>
  <si>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</si>
  <si>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</si>
  <si>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</si>
  <si>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</si>
  <si>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</si>
  <si>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</si>
  <si>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</si>
  <si>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</si>
  <si>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</si>
  <si>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</si>
  <si>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</si>
  <si>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</si>
  <si>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</si>
  <si>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</si>
  <si>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</si>
  <si>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</si>
  <si>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</si>
  <si>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</si>
  <si>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</si>
  <si>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</si>
  <si>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</si>
  <si>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</si>
  <si>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</si>
  <si>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</si>
  <si>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</si>
  <si>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</si>
  <si>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</si>
  <si>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</si>
  <si>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</si>
  <si>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</si>
  <si>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</si>
  <si>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</si>
  <si>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</si>
  <si>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</si>
  <si>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</si>
  <si>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</si>
  <si>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</si>
  <si>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</si>
  <si>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</si>
  <si>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</si>
  <si>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</si>
  <si>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</si>
  <si>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</si>
  <si>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</si>
  <si>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</si>
  <si>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</si>
  <si>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</si>
  <si>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</si>
  <si>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</si>
  <si>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</si>
  <si>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</si>
  <si>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</si>
  <si>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</si>
  <si>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</si>
  <si>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</si>
  <si>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</si>
  <si>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</si>
  <si>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</si>
  <si>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</si>
  <si>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</si>
  <si>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</si>
  <si>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</si>
  <si>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</si>
  <si>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</si>
  <si>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</si>
  <si>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</si>
  <si>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</si>
  <si>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</si>
  <si>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</si>
  <si>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</si>
  <si>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</si>
  <si>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</si>
  <si>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</si>
  <si>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</si>
  <si>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</si>
  <si>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</si>
  <si>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</si>
  <si>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</si>
  <si>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</si>
  <si>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</si>
  <si>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</si>
  <si>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</si>
  <si>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</si>
  <si>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</si>
  <si>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</si>
  <si>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</si>
  <si>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</si>
  <si>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</si>
  <si>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</si>
  <si>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</si>
  <si>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</si>
  <si>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</si>
  <si>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</si>
  <si>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</si>
  <si>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</si>
  <si>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</si>
  <si>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</si>
  <si>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</si>
  <si>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</si>
  <si>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</si>
  <si>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</si>
  <si>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</si>
  <si>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</si>
  <si>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</si>
  <si>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</si>
  <si>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</si>
  <si>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</si>
  <si>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</si>
  <si>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</si>
  <si>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</si>
  <si>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</si>
  <si>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</si>
  <si>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</si>
  <si>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</si>
  <si>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</si>
  <si>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</si>
  <si>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</si>
  <si>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</si>
  <si>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</si>
  <si>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</si>
  <si>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</si>
  <si>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</si>
  <si>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</si>
  <si>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</si>
  <si>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</si>
  <si>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</si>
  <si>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</si>
  <si>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</si>
  <si>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</si>
  <si>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</si>
  <si>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</si>
  <si>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</si>
  <si>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</si>
  <si>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</si>
  <si>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</si>
  <si>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</si>
  <si>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</si>
  <si>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</si>
  <si>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</si>
  <si>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</si>
  <si>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</si>
  <si>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</si>
  <si>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</si>
  <si>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</si>
  <si>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</si>
  <si>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</si>
  <si>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</si>
  <si>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</si>
  <si>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</si>
  <si>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</si>
  <si>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</si>
  <si>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</si>
  <si>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</si>
  <si>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</si>
  <si>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</si>
  <si>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</si>
  <si>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</si>
  <si>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</si>
  <si>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</si>
  <si>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</si>
  <si>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</si>
  <si>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</si>
  <si>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</si>
  <si>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</si>
  <si>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</si>
  <si>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</si>
  <si>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</si>
  <si>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</si>
  <si>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</si>
  <si>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</si>
  <si>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</si>
  <si>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</si>
  <si>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</si>
  <si>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</si>
  <si>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</si>
  <si>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</si>
  <si>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</si>
  <si>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</si>
  <si>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</si>
  <si>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</si>
  <si>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</si>
  <si>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</si>
  <si>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</si>
  <si>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</si>
  <si>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</si>
  <si>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</si>
  <si>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</si>
  <si>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</si>
  <si>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</si>
  <si>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</si>
  <si>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</si>
  <si>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</si>
  <si>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</si>
  <si>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</si>
  <si>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</si>
  <si>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</si>
  <si>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</si>
  <si>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</si>
  <si>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</si>
  <si>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</si>
  <si>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</si>
  <si>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</si>
  <si>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</si>
  <si>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</si>
  <si>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</si>
  <si>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</si>
  <si>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</si>
  <si>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</si>
  <si>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</si>
  <si>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</si>
  <si>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</si>
  <si>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</si>
  <si>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</si>
  <si>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</si>
  <si>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</si>
  <si>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</si>
  <si>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</si>
  <si>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</si>
  <si>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</si>
  <si>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</si>
  <si>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</si>
  <si>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</si>
  <si>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</si>
  <si>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</si>
  <si>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</si>
  <si>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</si>
  <si>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</si>
  <si>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</si>
  <si>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</si>
  <si>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</si>
  <si>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</si>
  <si>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</si>
  <si>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</si>
  <si>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</si>
  <si>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</si>
  <si>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</si>
  <si>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</si>
  <si>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</si>
  <si>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</si>
  <si>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</si>
  <si>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</si>
  <si>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</si>
  <si>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</si>
  <si>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</si>
  <si>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</si>
  <si>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</si>
  <si>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</si>
  <si>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</si>
  <si>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</si>
  <si>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</si>
  <si>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</si>
  <si>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</si>
  <si>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</si>
  <si>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</si>
  <si>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</si>
  <si>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</si>
  <si>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</si>
  <si>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</si>
  <si>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</si>
  <si>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</si>
  <si>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</si>
  <si>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</si>
  <si>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</si>
  <si>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</si>
  <si>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</si>
  <si>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</si>
  <si>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</si>
  <si>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</si>
  <si>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</si>
  <si>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</si>
  <si>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</si>
  <si>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</si>
  <si>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</si>
  <si>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</si>
  <si>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</si>
  <si>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</si>
  <si>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</si>
  <si>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</si>
  <si>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</si>
  <si>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</si>
  <si>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</si>
  <si>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</si>
  <si>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</si>
  <si>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</si>
  <si>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</si>
  <si>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</si>
  <si>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</si>
  <si>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</si>
  <si>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</si>
  <si>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</si>
  <si>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</si>
  <si>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</si>
  <si>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</si>
  <si>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</si>
  <si>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</si>
  <si>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</si>
  <si>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</si>
  <si>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</si>
  <si>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</si>
  <si>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</si>
  <si>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</si>
  <si>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</si>
  <si>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</si>
  <si>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</si>
  <si>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</si>
  <si>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</si>
  <si>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</si>
  <si>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</si>
  <si>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</si>
  <si>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</si>
  <si>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</si>
  <si>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</si>
  <si>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</si>
  <si>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</si>
  <si>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</si>
  <si>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</si>
  <si>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</si>
  <si>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</si>
  <si>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</si>
  <si>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</si>
  <si>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</si>
  <si>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</si>
  <si>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</si>
  <si>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</si>
  <si>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</si>
  <si>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</si>
  <si>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</si>
  <si>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</si>
  <si>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</si>
  <si>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</si>
  <si>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</si>
  <si>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</si>
  <si>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</si>
  <si>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</si>
  <si>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</si>
  <si>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</si>
  <si>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</si>
  <si>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</si>
  <si>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</si>
  <si>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</si>
  <si>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</si>
  <si>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</si>
  <si>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</si>
  <si>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</si>
  <si>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</si>
  <si>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</si>
  <si>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</si>
  <si>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</si>
  <si>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</si>
  <si>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</si>
  <si>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</si>
  <si>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</si>
  <si>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</si>
  <si>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</si>
  <si>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</si>
  <si>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</si>
  <si>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</si>
  <si>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</si>
  <si>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</si>
  <si>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</si>
  <si>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</si>
  <si>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</si>
  <si>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</si>
  <si>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</si>
  <si>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</si>
  <si>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</si>
  <si>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</si>
  <si>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</si>
  <si>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</si>
  <si>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</si>
  <si>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</si>
  <si>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</si>
  <si>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</si>
  <si>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</si>
  <si>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</si>
  <si>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</si>
  <si>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</si>
  <si>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</si>
  <si>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</si>
  <si>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</si>
  <si>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</si>
  <si>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</si>
  <si>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</si>
  <si>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</si>
  <si>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</si>
  <si>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</si>
  <si>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</si>
  <si>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</si>
  <si>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</si>
  <si>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</si>
  <si>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</si>
  <si>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</si>
  <si>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</si>
  <si>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</si>
  <si>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</si>
  <si>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</si>
  <si>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</si>
  <si>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</si>
  <si>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</si>
  <si>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</si>
  <si>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</si>
  <si>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</si>
  <si>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</si>
  <si>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</si>
  <si>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</si>
  <si>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</si>
  <si>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</si>
  <si>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</si>
  <si>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</si>
  <si>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</si>
  <si>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</si>
  <si>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</si>
  <si>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</si>
  <si>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</si>
  <si>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</si>
  <si>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</si>
  <si>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</si>
  <si>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</si>
  <si>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</si>
  <si>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</si>
  <si>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</si>
  <si>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</si>
  <si>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</si>
  <si>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</si>
  <si>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</si>
  <si>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</si>
  <si>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</si>
  <si>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</si>
  <si>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</si>
  <si>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</si>
  <si>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</si>
  <si>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</si>
  <si>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</si>
  <si>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</si>
  <si>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</si>
  <si>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</si>
  <si>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</si>
  <si>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</si>
  <si>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</si>
  <si>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</si>
  <si>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</si>
  <si>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</si>
  <si>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</si>
  <si>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</si>
  <si>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</si>
  <si>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</si>
  <si>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</si>
  <si>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</si>
  <si>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</si>
  <si>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</si>
  <si>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</si>
  <si>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</si>
  <si>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</si>
  <si>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</si>
  <si>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</si>
  <si>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</si>
  <si>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</si>
  <si>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</si>
  <si>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</si>
  <si>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</si>
  <si>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</si>
  <si>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</si>
  <si>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</si>
  <si>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</si>
  <si>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</si>
  <si>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</si>
  <si>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</si>
  <si>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</si>
  <si>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</si>
  <si>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</si>
  <si>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</si>
  <si>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</si>
  <si>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</si>
  <si>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</si>
  <si>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</si>
  <si>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</si>
  <si>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</si>
  <si>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</si>
  <si>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</si>
  <si>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</si>
  <si>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</si>
  <si>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</si>
  <si>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</si>
  <si>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</si>
  <si>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</si>
  <si>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</si>
  <si>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</si>
  <si>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</si>
  <si>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</si>
  <si>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</si>
  <si>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</si>
  <si>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</si>
  <si>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</si>
  <si>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</si>
  <si>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</si>
  <si>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</si>
  <si>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</si>
  <si>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</si>
  <si>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</si>
  <si>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</si>
  <si>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</si>
  <si>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</si>
  <si>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</si>
  <si>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</si>
  <si>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</si>
  <si>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</si>
  <si>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</si>
  <si>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</si>
  <si>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</si>
  <si>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</si>
  <si>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</si>
  <si>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</si>
  <si>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</si>
  <si>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</si>
  <si>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</si>
  <si>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</si>
  <si>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</si>
  <si>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</si>
  <si>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</si>
  <si>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</si>
  <si>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</si>
  <si>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</si>
  <si>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</si>
  <si>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</si>
  <si>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</si>
  <si>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</si>
  <si>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</si>
  <si>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</si>
  <si>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</si>
  <si>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</si>
  <si>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</si>
  <si>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</si>
  <si>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</si>
  <si>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</si>
  <si>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</si>
  <si>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</si>
  <si>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</si>
  <si>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</si>
  <si>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</si>
  <si>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</si>
  <si>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</si>
  <si>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</si>
  <si>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</si>
  <si>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</si>
  <si>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</si>
  <si>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</si>
  <si>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</si>
  <si>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</si>
  <si>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</si>
  <si>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</si>
  <si>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</si>
  <si>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</si>
  <si>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</si>
  <si>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</si>
  <si>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</si>
  <si>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</si>
  <si>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</si>
  <si>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</si>
  <si>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</si>
  <si>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</si>
  <si>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</si>
  <si>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</si>
  <si>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</si>
  <si>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</si>
  <si>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</si>
  <si>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</si>
  <si>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</si>
  <si>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</si>
  <si>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</si>
  <si>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</si>
  <si>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</si>
  <si>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</si>
  <si>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</si>
  <si>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</si>
  <si>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</si>
  <si>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</si>
  <si>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</si>
  <si>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</si>
  <si>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</si>
  <si>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</si>
  <si>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</si>
  <si>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</si>
  <si>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</si>
  <si>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</si>
  <si>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</si>
  <si>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</si>
  <si>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</si>
  <si>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</si>
  <si>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</si>
  <si>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</si>
  <si>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</si>
  <si>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</si>
  <si>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</si>
  <si>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</si>
  <si>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</si>
  <si>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</si>
  <si>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</si>
  <si>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</si>
  <si>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</si>
  <si>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</si>
  <si>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</si>
  <si>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</si>
  <si>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</si>
  <si>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</si>
  <si>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</si>
  <si>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</si>
  <si>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</si>
  <si>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</si>
  <si>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</si>
  <si>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</si>
  <si>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</si>
  <si>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</si>
  <si>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</si>
  <si>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</si>
  <si>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</si>
  <si>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</si>
  <si>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</si>
  <si>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</si>
  <si>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</si>
  <si>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</si>
  <si>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</si>
  <si>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</si>
  <si>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</si>
  <si>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</si>
  <si>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</si>
  <si>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</si>
  <si>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</si>
  <si>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</si>
  <si>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</si>
  <si>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</si>
  <si>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</si>
  <si>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</si>
  <si>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</si>
  <si>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</si>
  <si>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</si>
  <si>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</si>
  <si>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</si>
  <si>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</si>
  <si>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</si>
  <si>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</si>
  <si>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</si>
  <si>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</si>
  <si>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</si>
  <si>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</si>
  <si>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</si>
  <si>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</si>
  <si>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</si>
  <si>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</si>
  <si>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</si>
  <si>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</si>
  <si>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</si>
  <si>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</si>
  <si>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</si>
  <si>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</si>
  <si>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</si>
  <si>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</si>
  <si>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</si>
  <si>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</si>
  <si>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</si>
  <si>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</si>
  <si>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</si>
  <si>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</si>
  <si>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</si>
  <si>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</si>
  <si>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</si>
  <si>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</si>
  <si>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</si>
  <si>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</si>
  <si>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</si>
  <si>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</si>
  <si>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</si>
  <si>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</si>
  <si>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</si>
  <si>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</si>
  <si>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</si>
  <si>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</si>
  <si>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</si>
  <si>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</si>
  <si>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</si>
  <si>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</si>
  <si>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</si>
  <si>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</si>
  <si>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</si>
  <si>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</si>
  <si>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</si>
  <si>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</si>
  <si>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</si>
  <si>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</si>
  <si>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</si>
  <si>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</si>
  <si>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</si>
  <si>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</si>
  <si>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</si>
  <si>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</si>
  <si>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</si>
  <si>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</si>
  <si>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</si>
  <si>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</si>
  <si>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</si>
  <si>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</si>
  <si>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</si>
  <si>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</si>
  <si>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</si>
  <si>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</si>
  <si>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</si>
  <si>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</si>
  <si>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</si>
  <si>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</si>
  <si>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</si>
  <si>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</si>
  <si>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</si>
  <si>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</si>
  <si>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</si>
  <si>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</si>
  <si>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</si>
  <si>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</si>
  <si>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</si>
  <si>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</si>
  <si>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</si>
  <si>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</si>
  <si>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</si>
  <si>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</si>
  <si>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</si>
  <si>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</si>
  <si>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</si>
  <si>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</si>
  <si>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</si>
  <si>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</si>
  <si>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</si>
  <si>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</si>
  <si>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</si>
  <si>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</si>
  <si>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</si>
  <si>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</si>
  <si>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</si>
  <si>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</si>
  <si>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</si>
  <si>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</si>
  <si>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</si>
  <si>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</si>
  <si>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</si>
  <si>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</si>
  <si>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</si>
  <si>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</si>
  <si>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</si>
  <si>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</si>
  <si>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</si>
  <si>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</si>
  <si>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</si>
  <si>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</si>
  <si>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</si>
  <si>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</si>
  <si>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</si>
  <si>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</si>
  <si>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</si>
  <si>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</si>
  <si>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</si>
  <si>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</si>
  <si>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</si>
  <si>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</si>
  <si>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</si>
  <si>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</si>
  <si>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</si>
  <si>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</si>
  <si>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</si>
  <si>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</si>
  <si>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</si>
  <si>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</si>
  <si>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</si>
  <si>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</si>
  <si>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</si>
  <si>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</si>
  <si>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</si>
  <si>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</si>
  <si>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</si>
  <si>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</si>
  <si>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</si>
  <si>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</si>
  <si>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</si>
  <si>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</si>
  <si>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</si>
  <si>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</si>
  <si>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</si>
  <si>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</si>
  <si>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</si>
  <si>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</si>
  <si>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</si>
  <si>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</si>
  <si>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</si>
  <si>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</si>
  <si>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</si>
  <si>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</si>
  <si>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</si>
  <si>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</si>
  <si>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</si>
  <si>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</si>
  <si>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</si>
  <si>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</si>
  <si>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</si>
  <si>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</si>
  <si>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</si>
  <si>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</si>
  <si>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</si>
  <si>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</si>
  <si>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</si>
  <si>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</si>
  <si>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</si>
  <si>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</si>
  <si>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</si>
  <si>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</si>
  <si>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</si>
  <si>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</si>
  <si>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</si>
  <si>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</si>
  <si>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</si>
  <si>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</si>
  <si>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</si>
  <si>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</si>
  <si>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</si>
  <si>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</si>
  <si>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</si>
  <si>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</si>
  <si>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</si>
  <si>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</si>
  <si>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</si>
  <si>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</si>
  <si>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</si>
  <si>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</si>
  <si>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</si>
  <si>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</si>
  <si>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</si>
  <si>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</si>
  <si>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</si>
  <si>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</si>
  <si>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</si>
  <si>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</si>
  <si>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</si>
  <si>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</si>
  <si>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</si>
  <si>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</si>
  <si>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</si>
  <si>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</si>
  <si>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</si>
  <si>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</si>
  <si>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</si>
  <si>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</si>
  <si>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</si>
  <si>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</si>
  <si>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</si>
  <si>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</si>
  <si>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</si>
  <si>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</si>
  <si>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</si>
  <si>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</si>
  <si>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</si>
  <si>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</si>
  <si>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</si>
  <si>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</si>
  <si>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</si>
  <si>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</si>
  <si>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</si>
  <si>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</si>
  <si>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</si>
  <si>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</si>
  <si>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</si>
  <si>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</si>
  <si>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</si>
  <si>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</si>
  <si>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</si>
  <si>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</si>
  <si>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</si>
  <si>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</si>
  <si>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</si>
  <si>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</si>
  <si>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</si>
  <si>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</si>
  <si>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</si>
  <si>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</si>
  <si>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</si>
  <si>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</si>
  <si>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</si>
  <si>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</si>
  <si>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</si>
  <si>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</si>
  <si>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</si>
  <si>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</si>
  <si>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</si>
  <si>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</si>
  <si>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</si>
  <si>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</si>
  <si>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</si>
  <si>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</si>
  <si>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</si>
  <si>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</si>
  <si>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</si>
  <si>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</si>
  <si>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</si>
  <si>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</si>
  <si>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</si>
  <si>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</si>
  <si>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</si>
  <si>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</si>
  <si>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</si>
  <si>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</si>
  <si>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</si>
  <si>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</si>
  <si>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</si>
  <si>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</si>
  <si>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</si>
  <si>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</si>
  <si>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</si>
  <si>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</si>
  <si>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</si>
  <si>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</si>
  <si>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</si>
  <si>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</si>
  <si>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</si>
  <si>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</si>
  <si>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</si>
  <si>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</si>
  <si>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</si>
  <si>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</si>
  <si>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</si>
  <si>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</si>
  <si>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</si>
  <si>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</si>
  <si>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</si>
  <si>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</si>
  <si>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</si>
  <si>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</si>
  <si>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</si>
  <si>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</si>
  <si>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</si>
  <si>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</si>
  <si>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</si>
  <si>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</si>
  <si>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</si>
  <si>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</si>
  <si>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</si>
  <si>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</si>
  <si>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</si>
  <si>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</si>
  <si>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</si>
  <si>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</si>
  <si>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</si>
  <si>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</si>
  <si>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</si>
  <si>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</si>
  <si>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</si>
  <si>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</si>
  <si>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</si>
  <si>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</si>
  <si>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</si>
  <si>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</si>
  <si>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</si>
  <si>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</si>
  <si>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</si>
  <si>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</si>
  <si>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</si>
  <si>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</si>
  <si>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</si>
  <si>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</si>
  <si>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</si>
  <si>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</si>
  <si>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</si>
  <si>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</si>
  <si>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</si>
  <si>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</si>
  <si>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</si>
  <si>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</si>
  <si>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</si>
  <si>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</si>
  <si>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</si>
  <si>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</si>
  <si>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</si>
  <si>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</si>
  <si>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</si>
  <si>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</si>
  <si>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</si>
  <si>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</si>
  <si>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</si>
  <si>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</si>
  <si>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</si>
  <si>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</si>
  <si>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</si>
  <si>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</si>
  <si>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</si>
  <si>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</si>
  <si>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</si>
  <si>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</si>
  <si>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</si>
  <si>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</si>
  <si>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</si>
  <si>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</si>
  <si>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</si>
  <si>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</si>
  <si>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</si>
  <si>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</si>
  <si>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</si>
  <si>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</si>
  <si>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</si>
  <si>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</si>
  <si>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</si>
  <si>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</si>
  <si>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</si>
  <si>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</si>
  <si>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</si>
  <si>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</si>
  <si>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</si>
  <si>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</si>
  <si>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</si>
  <si>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</si>
  <si>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</si>
  <si>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</si>
  <si>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</si>
  <si>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</si>
  <si>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</si>
  <si>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</si>
  <si>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</si>
  <si>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</si>
  <si>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</si>
  <si>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</si>
  <si>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</si>
  <si>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</si>
  <si>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</si>
  <si>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</si>
  <si>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</si>
  <si>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</si>
  <si>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</si>
  <si>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</si>
  <si>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</si>
  <si>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</si>
  <si>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</si>
  <si>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</si>
  <si>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</si>
  <si>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</si>
  <si>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</si>
  <si>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</si>
  <si>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</si>
  <si>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</si>
  <si>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</si>
  <si>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</si>
  <si>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</si>
  <si>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</si>
  <si>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</si>
  <si>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</si>
  <si>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</si>
  <si>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</si>
  <si>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</si>
  <si>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</si>
  <si>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</si>
  <si>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</si>
  <si>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</si>
  <si>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</si>
  <si>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</si>
  <si>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</si>
  <si>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</si>
  <si>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</si>
  <si>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</si>
  <si>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</si>
  <si>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</si>
  <si>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</si>
  <si>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</si>
  <si>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</si>
  <si>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</si>
  <si>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</si>
  <si>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</si>
  <si>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</si>
  <si>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</si>
  <si>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</si>
  <si>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</si>
  <si>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</si>
  <si>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</si>
  <si>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</si>
  <si>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</si>
  <si>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</si>
  <si>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</si>
  <si>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</si>
  <si>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</si>
  <si>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</si>
  <si>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</si>
  <si>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</si>
  <si>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</si>
  <si>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</si>
  <si>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</si>
  <si>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</si>
  <si>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</si>
  <si>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</si>
  <si>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</si>
  <si>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</si>
  <si>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</si>
  <si>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</si>
  <si>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</si>
  <si>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</si>
  <si>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</si>
  <si>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</si>
  <si>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</si>
  <si>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</si>
  <si>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</si>
  <si>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</si>
  <si>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</si>
  <si>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</si>
  <si>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</si>
  <si>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</si>
  <si>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</si>
  <si>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</si>
  <si>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</si>
  <si>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</si>
  <si>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</si>
  <si>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</si>
  <si>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</si>
  <si>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</si>
  <si>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</si>
  <si>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</si>
  <si>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</si>
  <si>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</si>
  <si>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</si>
  <si>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</si>
  <si>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</si>
  <si>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</si>
  <si>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</si>
  <si>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</si>
  <si>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</si>
  <si>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</si>
  <si>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</si>
  <si>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</si>
  <si>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</si>
  <si>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</si>
  <si>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</si>
  <si>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</si>
  <si>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</si>
  <si>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</si>
  <si>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</si>
  <si>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</si>
  <si>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</si>
  <si>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</si>
  <si>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</si>
  <si>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</si>
  <si>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</si>
  <si>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</si>
  <si>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</si>
  <si>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</si>
  <si>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</si>
  <si>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</si>
  <si>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</si>
  <si>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</si>
  <si>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</si>
  <si>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</si>
  <si>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</si>
  <si>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</si>
  <si>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</si>
  <si>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</si>
  <si>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</si>
  <si>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</si>
  <si>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</si>
  <si>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</si>
  <si>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</si>
  <si>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</si>
  <si>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</si>
  <si>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</si>
  <si>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</si>
  <si>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</si>
  <si>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</si>
  <si>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</si>
  <si>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</si>
  <si>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</si>
  <si>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</si>
  <si>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</si>
  <si>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</si>
  <si>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</si>
  <si>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</si>
  <si>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</si>
  <si>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</si>
  <si>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</si>
  <si>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</si>
  <si>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</si>
  <si>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</si>
  <si>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</si>
  <si>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</si>
  <si>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</si>
  <si>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</si>
  <si>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</si>
  <si>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</si>
  <si>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</si>
  <si>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</si>
  <si>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</si>
  <si>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</si>
  <si>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</si>
  <si>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</si>
  <si>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</si>
  <si>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</si>
  <si>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</si>
  <si>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</si>
  <si>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</si>
  <si>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</si>
  <si>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</si>
  <si>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</si>
  <si>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</si>
  <si>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</si>
  <si>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</si>
  <si>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</si>
  <si>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</si>
  <si>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</si>
  <si>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</si>
  <si>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</si>
  <si>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</si>
  <si>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</si>
  <si>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</si>
  <si>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</si>
  <si>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</si>
  <si>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</si>
  <si>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</si>
  <si>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</si>
  <si>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</si>
  <si>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</si>
  <si>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</si>
  <si>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</si>
  <si>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</si>
  <si>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</si>
  <si>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</si>
  <si>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</si>
  <si>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</si>
  <si>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</si>
  <si>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</si>
  <si>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</si>
  <si>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</si>
  <si>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</si>
  <si>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</si>
  <si>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</si>
  <si>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</si>
  <si>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</si>
  <si>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</si>
  <si>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</si>
  <si>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</si>
  <si>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</si>
  <si>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</si>
  <si>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</si>
  <si>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</si>
  <si>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</si>
  <si>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</si>
  <si>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</si>
  <si>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</si>
  <si>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</si>
  <si>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</si>
  <si>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</si>
  <si>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</si>
  <si>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</si>
  <si>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</si>
  <si>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</si>
  <si>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</si>
  <si>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</si>
  <si>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</si>
  <si>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</si>
  <si>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</si>
  <si>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</si>
  <si>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</si>
  <si>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</si>
  <si>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</si>
  <si>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</si>
  <si>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</si>
  <si>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</si>
  <si>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</si>
  <si>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</si>
  <si>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</si>
  <si>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</si>
  <si>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</si>
  <si>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</si>
  <si>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</si>
  <si>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</si>
  <si>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</si>
  <si>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</si>
  <si>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</si>
  <si>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</si>
  <si>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</si>
  <si>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</si>
  <si>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</si>
  <si>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</si>
  <si>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</si>
  <si>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</si>
  <si>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</si>
  <si>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</si>
  <si>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</si>
  <si>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</si>
  <si>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</si>
  <si>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</si>
  <si>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</si>
  <si>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</si>
  <si>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</si>
  <si>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</si>
  <si>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</si>
  <si>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</si>
  <si>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</si>
  <si>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</si>
  <si>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</si>
  <si>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</si>
  <si>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</si>
  <si>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</si>
  <si>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</si>
  <si>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</si>
  <si>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</si>
  <si>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</si>
  <si>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</si>
  <si>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</si>
  <si>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</si>
  <si>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</si>
  <si>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</si>
  <si>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</si>
  <si>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</si>
  <si>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</si>
  <si>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</si>
  <si>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</si>
  <si>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</si>
  <si>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</si>
  <si>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</si>
  <si>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</si>
  <si>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</si>
  <si>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</si>
  <si>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</si>
  <si>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</si>
  <si>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</si>
  <si>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</si>
  <si>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</si>
  <si>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</si>
  <si>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</si>
  <si>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</si>
  <si>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</si>
  <si>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</si>
  <si>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</si>
  <si>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</si>
  <si>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</si>
  <si>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</si>
  <si>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</si>
  <si>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</si>
  <si>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</si>
  <si>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</si>
  <si>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</si>
  <si>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</si>
  <si>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</si>
  <si>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</si>
  <si>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</si>
  <si>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</si>
  <si>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</si>
  <si>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</si>
  <si>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</si>
  <si>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</si>
  <si>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</si>
  <si>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</si>
  <si>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</si>
  <si>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</si>
  <si>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</si>
  <si>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</si>
  <si>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</si>
  <si>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</si>
  <si>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</si>
  <si>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</si>
  <si>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</si>
  <si>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</si>
  <si>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</si>
  <si>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</si>
  <si>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</si>
  <si>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</si>
  <si>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</si>
  <si>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</si>
  <si>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</si>
  <si>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</si>
  <si>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</si>
  <si>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</si>
  <si>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</si>
  <si>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</si>
  <si>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</si>
  <si>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</si>
  <si>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</si>
  <si>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</si>
  <si>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</si>
  <si>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</si>
  <si>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</si>
  <si>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</si>
  <si>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</si>
  <si>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</si>
  <si>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</si>
  <si>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</si>
  <si>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</si>
  <si>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</si>
  <si>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</si>
  <si>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</si>
  <si>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</si>
  <si>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</si>
  <si>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</si>
  <si>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</si>
  <si>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</si>
  <si>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</si>
  <si>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</si>
  <si>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</si>
  <si>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</si>
  <si>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</si>
  <si>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</si>
  <si>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</si>
  <si>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</si>
  <si>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</si>
  <si>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</si>
  <si>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</si>
  <si>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</si>
  <si>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</si>
  <si>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</si>
  <si>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</si>
  <si>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</si>
  <si>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</si>
  <si>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</si>
  <si>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</si>
  <si>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</si>
  <si>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</si>
  <si>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</si>
  <si>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</si>
  <si>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</si>
  <si>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</si>
  <si>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</si>
  <si>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</si>
  <si>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</si>
  <si>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</si>
  <si>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</si>
  <si>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</si>
  <si>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</si>
  <si>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</si>
  <si>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</si>
  <si>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</si>
  <si>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</si>
  <si>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</si>
  <si>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</si>
  <si>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</si>
  <si>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</si>
  <si>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</si>
  <si>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</si>
  <si>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</si>
  <si>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</si>
  <si>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</si>
  <si>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</si>
  <si>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</si>
  <si>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</si>
  <si>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</si>
  <si>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</si>
  <si>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</si>
  <si>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</si>
  <si>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</si>
  <si>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</si>
  <si>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</si>
  <si>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</si>
  <si>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</si>
  <si>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</si>
  <si>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</si>
  <si>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</si>
  <si>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</si>
  <si>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</si>
  <si>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</si>
  <si>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</si>
  <si>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</si>
  <si>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</si>
  <si>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</si>
  <si>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</si>
  <si>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</si>
  <si>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</si>
  <si>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</si>
  <si>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</si>
  <si>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</si>
  <si>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</si>
  <si>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</si>
  <si>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</si>
  <si>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</si>
  <si>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</si>
  <si>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</si>
  <si>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</si>
  <si>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</si>
  <si>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</si>
  <si>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</si>
  <si>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</si>
  <si>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</si>
  <si>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</si>
  <si>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</si>
  <si>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</si>
  <si>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</si>
  <si>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</si>
  <si>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</si>
  <si>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</si>
  <si>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</si>
  <si>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</si>
  <si>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</si>
  <si>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</si>
  <si>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</si>
  <si>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</si>
  <si>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</si>
  <si>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</si>
  <si>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</si>
  <si>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</si>
  <si>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</si>
  <si>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</si>
  <si>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</si>
  <si>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</si>
  <si>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</si>
  <si>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</si>
  <si>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</si>
  <si>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</si>
  <si>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</si>
  <si>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</si>
  <si>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</si>
  <si>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</si>
  <si>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</si>
  <si>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</si>
  <si>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</si>
  <si>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</si>
  <si>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</si>
  <si>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</si>
  <si>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</si>
  <si>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</si>
  <si>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</si>
  <si>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</si>
  <si>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</si>
  <si>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</si>
  <si>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</si>
  <si>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</si>
  <si>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</si>
  <si>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</si>
  <si>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</si>
  <si>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</si>
  <si>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</si>
  <si>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</si>
  <si>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</si>
  <si>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</si>
  <si>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</si>
  <si>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</si>
  <si>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</si>
  <si>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</si>
  <si>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</si>
  <si>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</si>
  <si>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</si>
  <si>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</si>
  <si>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</si>
  <si>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</si>
  <si>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</si>
  <si>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</si>
  <si>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</si>
  <si>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</si>
  <si>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</si>
  <si>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</si>
  <si>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</si>
  <si>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</si>
  <si>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</si>
  <si>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</si>
  <si>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</si>
  <si>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</si>
  <si>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</si>
  <si>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</si>
  <si>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</si>
  <si>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</si>
  <si>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</si>
  <si>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</si>
  <si>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</si>
  <si>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</si>
  <si>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</si>
  <si>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</si>
  <si>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</si>
  <si>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</si>
  <si>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</si>
  <si>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</si>
  <si>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</si>
  <si>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</si>
  <si>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</si>
  <si>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</si>
  <si>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</si>
  <si>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</si>
  <si>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</si>
  <si>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</si>
  <si>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</si>
  <si>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</si>
  <si>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</si>
  <si>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</si>
  <si>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</si>
  <si>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</si>
  <si>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</si>
  <si>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</si>
  <si>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</si>
  <si>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</si>
  <si>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</si>
  <si>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</si>
  <si>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</si>
  <si>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</si>
  <si>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</si>
  <si>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</si>
  <si>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</si>
  <si>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</si>
  <si>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</si>
  <si>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</si>
  <si>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</si>
  <si>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</si>
  <si>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</si>
  <si>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</si>
  <si>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</si>
  <si>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</si>
  <si>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</si>
  <si>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</si>
  <si>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</si>
  <si>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</si>
  <si>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</si>
  <si>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</si>
  <si>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</si>
  <si>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</si>
  <si>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</si>
  <si>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</si>
  <si>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</si>
  <si>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</si>
  <si>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</si>
  <si>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</si>
  <si>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</si>
  <si>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</si>
  <si>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</si>
  <si>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</si>
  <si>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</si>
  <si>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</si>
  <si>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</si>
  <si>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</si>
  <si>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</si>
  <si>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</si>
  <si>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</si>
  <si>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</si>
  <si>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</si>
  <si>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</si>
  <si>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</si>
  <si>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</si>
  <si>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</si>
  <si>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</si>
  <si>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</si>
  <si>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</si>
  <si>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</si>
  <si>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</si>
  <si>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</si>
  <si>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</si>
  <si>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</si>
  <si>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</si>
  <si>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</si>
  <si>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</si>
  <si>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</si>
  <si>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</si>
  <si>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</si>
  <si>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</si>
  <si>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</si>
  <si>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</si>
  <si>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</si>
  <si>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</si>
  <si>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</si>
  <si>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</si>
  <si>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</si>
  <si>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</si>
  <si>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</si>
  <si>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</si>
  <si>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</si>
  <si>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</si>
  <si>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</si>
  <si>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</si>
  <si>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</si>
  <si>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</si>
  <si>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</si>
  <si>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</si>
  <si>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</si>
  <si>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</si>
  <si>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</si>
  <si>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</si>
  <si>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</si>
  <si>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</si>
  <si>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</si>
  <si>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</si>
  <si>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</si>
  <si>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</si>
  <si>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</si>
  <si>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</si>
  <si>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</si>
  <si>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</si>
  <si>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</si>
  <si>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</si>
  <si>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</si>
  <si>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</si>
  <si>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</si>
  <si>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</si>
  <si>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</si>
  <si>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</si>
  <si>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</si>
  <si>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</si>
  <si>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</si>
  <si>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</si>
  <si>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</si>
  <si>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</si>
  <si>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</si>
  <si>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</si>
  <si>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</si>
  <si>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</si>
  <si>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</si>
  <si>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</si>
  <si>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</si>
  <si>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</si>
  <si>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</si>
  <si>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</si>
  <si>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</si>
  <si>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</si>
  <si>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</si>
  <si>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</si>
  <si>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</si>
  <si>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</si>
  <si>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</si>
  <si>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</si>
  <si>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</si>
  <si>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</si>
  <si>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</si>
  <si>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</si>
  <si>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</si>
  <si>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</si>
  <si>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</si>
  <si>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</si>
  <si>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</si>
  <si>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</si>
  <si>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</si>
  <si>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</si>
  <si>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</si>
  <si>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</si>
  <si>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</si>
  <si>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</si>
  <si>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</si>
  <si>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</si>
  <si>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</si>
  <si>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</si>
  <si>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</si>
  <si>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</si>
  <si>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</si>
  <si>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</si>
  <si>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</si>
  <si>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</si>
  <si>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</si>
  <si>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</si>
  <si>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</si>
  <si>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</si>
  <si>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</si>
  <si>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</si>
  <si>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</si>
  <si>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</si>
  <si>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</si>
  <si>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</si>
  <si>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</si>
  <si>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</si>
  <si>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</si>
  <si>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</si>
  <si>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</si>
  <si>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</si>
  <si>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</si>
  <si>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</si>
  <si>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</si>
  <si>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</si>
  <si>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</si>
  <si>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</si>
  <si>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</si>
  <si>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</si>
  <si>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</si>
  <si>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</si>
  <si>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</si>
  <si>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</si>
  <si>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</si>
  <si>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</si>
  <si>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</si>
  <si>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</si>
  <si>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</si>
  <si>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</si>
  <si>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</si>
  <si>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</si>
  <si>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</si>
  <si>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</si>
  <si>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</si>
  <si>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</si>
  <si>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</si>
  <si>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</si>
  <si>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</si>
  <si>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</si>
  <si>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</si>
  <si>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</si>
  <si>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</si>
  <si>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</si>
  <si>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</si>
  <si>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</si>
  <si>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</si>
  <si>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</si>
  <si>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</si>
  <si>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</si>
  <si>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</si>
  <si>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</si>
  <si>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</si>
  <si>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</si>
  <si>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</si>
  <si>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</si>
  <si>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</si>
  <si>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</si>
  <si>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</si>
  <si>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</si>
  <si>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</si>
  <si>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</si>
  <si>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</si>
  <si>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</si>
  <si>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</si>
  <si>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</si>
  <si>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</si>
  <si>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</si>
  <si>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</si>
  <si>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</si>
  <si>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</si>
  <si>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</si>
  <si>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</si>
  <si>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</si>
  <si>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</si>
  <si>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</si>
  <si>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</si>
  <si>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</si>
  <si>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</si>
  <si>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</si>
  <si>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</si>
  <si>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</si>
  <si>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</si>
  <si>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</si>
  <si>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</si>
  <si>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</si>
  <si>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</si>
  <si>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</si>
  <si>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</si>
  <si>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</si>
  <si>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</si>
  <si>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</si>
  <si>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</si>
  <si>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</si>
  <si>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</si>
  <si>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</si>
  <si>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</si>
  <si>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</si>
  <si>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</si>
  <si>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</si>
  <si>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</si>
  <si>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</si>
  <si>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</si>
  <si>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</si>
  <si>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</si>
  <si>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</si>
  <si>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</si>
  <si>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</si>
  <si>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</si>
  <si>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</si>
  <si>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</si>
  <si>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</si>
  <si>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</si>
  <si>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</si>
  <si>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</si>
  <si>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</si>
  <si>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</si>
  <si>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</si>
  <si>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</si>
  <si>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</si>
  <si>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</si>
  <si>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</si>
  <si>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</si>
  <si>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</si>
  <si>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</si>
  <si>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</si>
  <si>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</si>
  <si>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</si>
  <si>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</si>
  <si>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</si>
  <si>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</si>
  <si>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</si>
  <si>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</si>
  <si>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</si>
  <si>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</si>
  <si>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</si>
  <si>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</si>
  <si>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</si>
  <si>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</si>
  <si>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</si>
  <si>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</si>
  <si>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</si>
  <si>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</si>
  <si>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</si>
  <si>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</si>
  <si>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</si>
  <si>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</si>
  <si>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</si>
  <si>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</si>
  <si>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</si>
  <si>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</si>
  <si>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</si>
  <si>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</si>
  <si>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</si>
  <si>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</si>
  <si>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</si>
  <si>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</si>
  <si>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</si>
  <si>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</si>
  <si>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</si>
  <si>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</si>
  <si>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</si>
  <si>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</si>
  <si>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</si>
  <si>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</si>
  <si>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</si>
  <si>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</si>
  <si>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</si>
  <si>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</si>
  <si>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</si>
  <si>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</si>
  <si>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</si>
  <si>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</si>
  <si>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</si>
  <si>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</si>
  <si>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</si>
  <si>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</si>
  <si>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</si>
  <si>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</si>
  <si>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</si>
  <si>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</si>
  <si>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</si>
  <si>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</si>
  <si>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</si>
  <si>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</si>
  <si>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</si>
  <si>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</si>
  <si>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</si>
  <si>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</si>
  <si>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</si>
  <si>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</si>
  <si>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</si>
  <si>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</si>
  <si>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</si>
  <si>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</si>
  <si>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</si>
  <si>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</si>
  <si>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</si>
  <si>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</si>
  <si>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</si>
  <si>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</si>
  <si>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</si>
  <si>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</si>
  <si>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</si>
  <si>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</si>
  <si>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</si>
  <si>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</si>
  <si>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</si>
  <si>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</si>
  <si>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</si>
  <si>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</si>
  <si>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</si>
  <si>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</si>
  <si>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</si>
  <si>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</si>
  <si>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</si>
  <si>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</si>
  <si>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</si>
  <si>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</si>
  <si>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</si>
  <si>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</si>
  <si>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</si>
  <si>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</si>
  <si>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</si>
  <si>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</si>
  <si>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</si>
  <si>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</si>
  <si>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</si>
  <si>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</si>
  <si>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</si>
  <si>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</si>
  <si>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</si>
  <si>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</si>
  <si>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</si>
  <si>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</si>
  <si>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</si>
  <si>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</si>
  <si>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</si>
  <si>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</si>
  <si>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</si>
  <si>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</si>
  <si>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</si>
  <si>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</si>
  <si>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</si>
  <si>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</si>
  <si>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</si>
  <si>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</si>
  <si>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</si>
  <si>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</si>
  <si>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</si>
  <si>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</si>
  <si>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</si>
  <si>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</si>
  <si>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</si>
  <si>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</si>
  <si>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</si>
  <si>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</si>
  <si>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</si>
  <si>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</si>
  <si>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</si>
  <si>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</si>
  <si>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</si>
  <si>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</si>
  <si>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</si>
  <si>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</si>
  <si>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</si>
  <si>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</si>
  <si>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</si>
  <si>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</si>
  <si>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</si>
  <si>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</si>
  <si>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</si>
  <si>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</si>
  <si>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</si>
  <si>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</si>
  <si>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</si>
  <si>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</si>
  <si>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</si>
  <si>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</si>
  <si>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</si>
  <si>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</si>
  <si>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</si>
  <si>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</si>
  <si>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</si>
  <si>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</si>
  <si>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</si>
  <si>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</si>
  <si>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</si>
  <si>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</si>
  <si>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</si>
  <si>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</si>
  <si>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</si>
  <si>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</si>
  <si>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</si>
  <si>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</si>
  <si>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</si>
  <si>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</si>
  <si>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</si>
  <si>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</si>
  <si>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</si>
  <si>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</si>
  <si>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</si>
  <si>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</si>
  <si>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</si>
  <si>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</si>
  <si>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</si>
  <si>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</si>
  <si>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</si>
  <si>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</si>
  <si>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</si>
  <si>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</si>
  <si>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</si>
  <si>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</si>
  <si>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</si>
  <si>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</si>
  <si>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</si>
  <si>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</si>
  <si>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</si>
  <si>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</si>
  <si>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</si>
  <si>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</si>
  <si>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</si>
  <si>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</si>
  <si>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</si>
  <si>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</si>
  <si>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</si>
  <si>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</si>
  <si>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</si>
  <si>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</si>
  <si>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</si>
  <si>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</si>
  <si>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</si>
  <si>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</si>
  <si>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</si>
  <si>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</si>
  <si>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</si>
  <si>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</si>
  <si>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</si>
  <si>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</si>
  <si>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</si>
  <si>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</si>
  <si>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</si>
  <si>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</si>
  <si>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</si>
  <si>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</si>
  <si>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</si>
  <si>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</si>
  <si>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</si>
  <si>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</si>
  <si>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</si>
  <si>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</si>
  <si>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</si>
  <si>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</si>
  <si>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</si>
  <si>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</si>
  <si>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</si>
  <si>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</si>
  <si>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</si>
  <si>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</si>
  <si>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</si>
  <si>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</si>
  <si>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</si>
  <si>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</si>
  <si>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</si>
  <si>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</si>
  <si>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</si>
  <si>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</si>
  <si>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</si>
  <si>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</si>
  <si>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</si>
  <si>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</si>
  <si>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</si>
  <si>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</si>
  <si>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</si>
  <si>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</si>
  <si>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</si>
  <si>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</si>
  <si>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</si>
  <si>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</si>
  <si>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</si>
  <si>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</si>
  <si>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</si>
  <si>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</si>
  <si>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</si>
  <si>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</si>
  <si>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</si>
  <si>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</si>
  <si>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</si>
  <si>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</si>
  <si>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</si>
  <si>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</si>
  <si>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</si>
  <si>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</si>
  <si>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</si>
  <si>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</si>
  <si>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</si>
  <si>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</si>
  <si>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</si>
  <si>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</si>
  <si>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</si>
  <si>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</si>
  <si>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</si>
  <si>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</si>
  <si>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</si>
  <si>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</si>
  <si>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</si>
  <si>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</si>
  <si>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</si>
  <si>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</si>
  <si>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</si>
  <si>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</si>
  <si>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</si>
  <si>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</si>
  <si>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</si>
  <si>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</si>
  <si>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</si>
  <si>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</si>
  <si>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</si>
  <si>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</si>
  <si>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</si>
  <si>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</si>
  <si>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</si>
  <si>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</si>
  <si>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</si>
  <si>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</si>
  <si>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</si>
  <si>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</si>
  <si>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</si>
  <si>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</si>
  <si>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</si>
  <si>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</si>
  <si>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</si>
  <si>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</si>
  <si>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</si>
  <si>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</si>
  <si>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</si>
  <si>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</si>
  <si>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</si>
  <si>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</si>
  <si>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</si>
  <si>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</si>
  <si>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</si>
  <si>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</si>
  <si>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</si>
  <si>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</si>
  <si>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</si>
  <si>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</si>
  <si>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</si>
  <si>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</si>
  <si>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</si>
  <si>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</si>
  <si>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</si>
  <si>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</si>
  <si>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</si>
  <si>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</si>
  <si>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</si>
  <si>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</si>
  <si>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</si>
  <si>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</si>
  <si>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</si>
  <si>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</si>
  <si>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</si>
  <si>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</si>
  <si>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</si>
  <si>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</si>
  <si>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</si>
  <si>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</si>
  <si>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</si>
  <si>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</si>
  <si>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</si>
  <si>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</si>
  <si>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</si>
  <si>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</si>
  <si>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</si>
  <si>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</si>
  <si>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</si>
  <si>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</si>
  <si>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</si>
  <si>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</si>
  <si>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</si>
  <si>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</si>
  <si>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</si>
  <si>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</si>
  <si>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</si>
  <si>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</si>
  <si>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</si>
  <si>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</si>
  <si>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</si>
  <si>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</si>
  <si>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</si>
  <si>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</si>
  <si>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</si>
  <si>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</si>
  <si>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</si>
  <si>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</si>
  <si>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</si>
  <si>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</si>
  <si>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</si>
  <si>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</si>
  <si>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</si>
  <si>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</si>
  <si>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</si>
  <si>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</si>
  <si>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</si>
  <si>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</si>
  <si>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</si>
  <si>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</si>
  <si>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</si>
  <si>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</si>
  <si>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</si>
  <si>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</si>
  <si>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</si>
  <si>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</si>
  <si>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</si>
  <si>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</si>
  <si>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</si>
  <si>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</si>
  <si>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</si>
  <si>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</si>
  <si>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</si>
  <si>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</si>
  <si>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</si>
  <si>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</si>
  <si>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</si>
  <si>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</si>
  <si>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</si>
  <si>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</si>
  <si>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</si>
  <si>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</si>
  <si>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</si>
  <si>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</si>
  <si>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</si>
  <si>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</si>
  <si>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</si>
  <si>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</si>
  <si>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</si>
  <si>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</si>
  <si>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</si>
  <si>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</si>
  <si>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</si>
  <si>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</si>
  <si>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</si>
  <si>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</si>
  <si>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</si>
  <si>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</si>
  <si>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</si>
  <si>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</si>
  <si>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</si>
  <si>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</si>
  <si>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</si>
  <si>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</si>
  <si>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</si>
  <si>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</si>
  <si>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</si>
  <si>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</si>
  <si>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</si>
  <si>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</si>
  <si>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</si>
  <si>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</si>
  <si>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</si>
  <si>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</si>
  <si>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</si>
  <si>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</si>
  <si>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</si>
  <si>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</si>
  <si>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</si>
  <si>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</si>
  <si>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</si>
  <si>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</si>
  <si>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</si>
  <si>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</si>
  <si>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</si>
  <si>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</si>
  <si>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</si>
  <si>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</si>
  <si>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</si>
  <si>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</si>
  <si>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</si>
  <si>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</si>
  <si>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</si>
  <si>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</si>
  <si>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</si>
  <si>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</si>
  <si>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</si>
  <si>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</si>
  <si>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</si>
  <si>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</si>
  <si>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</si>
  <si>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</si>
  <si>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</si>
  <si>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</si>
  <si>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</si>
  <si>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</si>
  <si>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</si>
  <si>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</si>
  <si>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</si>
  <si>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</si>
  <si>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</si>
  <si>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</si>
  <si>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</si>
  <si>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</si>
  <si>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</si>
  <si>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</si>
  <si>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</si>
  <si>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</si>
  <si>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</si>
  <si>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</si>
  <si>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</si>
  <si>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</si>
  <si>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</si>
  <si>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</si>
  <si>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</si>
  <si>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</si>
  <si>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</si>
  <si>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</si>
  <si>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</si>
  <si>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</si>
  <si>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</si>
  <si>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</si>
  <si>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</si>
  <si>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</si>
  <si>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</si>
  <si>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</si>
  <si>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</si>
  <si>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</si>
  <si>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</si>
  <si>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</si>
  <si>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</si>
  <si>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</si>
  <si>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</si>
  <si>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</si>
  <si>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</si>
  <si>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</si>
  <si>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</si>
  <si>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</si>
  <si>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</si>
  <si>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</si>
  <si>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</si>
  <si>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</si>
  <si>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</si>
  <si>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</si>
  <si>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</si>
  <si>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</si>
  <si>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</si>
  <si>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</si>
  <si>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</si>
  <si>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</si>
  <si>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</si>
  <si>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</si>
  <si>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</si>
  <si>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</si>
  <si>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</si>
  <si>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</si>
  <si>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</si>
  <si>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</si>
  <si>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</si>
  <si>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</si>
  <si>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</si>
  <si>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</si>
  <si>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</si>
  <si>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</si>
  <si>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</si>
  <si>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</si>
  <si>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</si>
  <si>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</si>
  <si>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</si>
  <si>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</si>
  <si>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</si>
  <si>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</si>
  <si>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</si>
  <si>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</si>
  <si>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</si>
  <si>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</si>
  <si>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</si>
  <si>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</si>
  <si>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</si>
  <si>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</si>
  <si>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</si>
  <si>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</si>
  <si>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</si>
  <si>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</si>
  <si>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</si>
  <si>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</si>
  <si>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</si>
  <si>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</si>
  <si>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</si>
  <si>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</si>
  <si>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</si>
  <si>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</si>
  <si>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</si>
  <si>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</si>
  <si>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</si>
  <si>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</si>
  <si>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</si>
  <si>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</si>
  <si>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</si>
  <si>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</si>
  <si>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</si>
  <si>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</si>
  <si>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</si>
  <si>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</si>
  <si>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</si>
  <si>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</si>
  <si>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</si>
  <si>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</si>
  <si>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</si>
  <si>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</si>
  <si>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</si>
  <si>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</si>
  <si>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</si>
  <si>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</si>
  <si>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</si>
  <si>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</si>
  <si>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</si>
  <si>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</si>
  <si>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</si>
  <si>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</si>
  <si>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</si>
  <si>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</si>
  <si>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</si>
  <si>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</si>
  <si>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</si>
  <si>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</si>
  <si>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</si>
  <si>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</si>
  <si>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</si>
  <si>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</si>
  <si>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</si>
  <si>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</si>
  <si>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</si>
  <si>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</si>
  <si>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</si>
  <si>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</si>
  <si>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</si>
  <si>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</si>
  <si>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</si>
  <si>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</si>
  <si>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</si>
  <si>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</si>
  <si>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</si>
  <si>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</si>
  <si>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</si>
  <si>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</si>
  <si>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</si>
  <si>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</si>
  <si>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</si>
  <si>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</si>
  <si>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</si>
  <si>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</si>
  <si>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</si>
  <si>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</si>
  <si>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</si>
  <si>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</si>
  <si>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</si>
  <si>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</si>
  <si>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</si>
  <si>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</si>
  <si>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</si>
  <si>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</si>
  <si>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</si>
  <si>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</si>
  <si>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</si>
  <si>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</si>
  <si>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</si>
  <si>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</si>
  <si>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</si>
  <si>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</si>
  <si>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</si>
  <si>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</si>
  <si>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</si>
  <si>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</si>
  <si>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</si>
  <si>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</si>
  <si>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</si>
  <si>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</si>
  <si>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</si>
  <si>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</si>
  <si>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</si>
  <si>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</si>
  <si>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</si>
  <si>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</si>
  <si>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</si>
  <si>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</si>
  <si>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</si>
  <si>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</si>
  <si>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</si>
  <si>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</si>
  <si>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</si>
  <si>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</si>
  <si>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</si>
  <si>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</si>
  <si>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</si>
  <si>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</si>
  <si>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</si>
  <si>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</si>
  <si>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</si>
  <si>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</si>
  <si>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</si>
  <si>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</si>
  <si>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</si>
  <si>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</si>
  <si>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</si>
  <si>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</si>
  <si>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</si>
  <si>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</si>
  <si>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</si>
  <si>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</si>
  <si>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</si>
  <si>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</si>
  <si>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</si>
  <si>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</si>
  <si>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</si>
  <si>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</si>
  <si>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</si>
  <si>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</si>
  <si>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</si>
  <si>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</si>
  <si>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</si>
  <si>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</si>
  <si>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</si>
  <si>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</si>
  <si>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</si>
  <si>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</si>
  <si>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</si>
  <si>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</si>
  <si>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</si>
  <si>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</si>
  <si>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</si>
  <si>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</si>
  <si>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</si>
  <si>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</si>
  <si>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</si>
  <si>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</si>
  <si>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</si>
  <si>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</si>
  <si>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</si>
  <si>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</si>
  <si>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</si>
  <si>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</si>
  <si>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</si>
  <si>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</si>
  <si>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</si>
  <si>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</si>
  <si>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</si>
  <si>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</si>
  <si>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</si>
  <si>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</si>
  <si>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</si>
  <si>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</si>
  <si>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</si>
  <si>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</si>
  <si>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</si>
  <si>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</si>
  <si>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</si>
  <si>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</si>
  <si>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</si>
  <si>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</si>
  <si>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</si>
  <si>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</si>
  <si>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</si>
  <si>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</si>
  <si>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</si>
  <si>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</si>
  <si>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</si>
  <si>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</si>
  <si>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</si>
  <si>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</si>
  <si>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</si>
  <si>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</si>
  <si>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</si>
  <si>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</si>
  <si>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</si>
  <si>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</si>
  <si>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</si>
  <si>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</si>
  <si>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</si>
  <si>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</si>
  <si>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</si>
  <si>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</si>
  <si>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</si>
  <si>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</si>
  <si>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</si>
  <si>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</si>
  <si>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</si>
  <si>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</si>
  <si>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</si>
  <si>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</si>
  <si>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</si>
  <si>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</si>
  <si>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</si>
  <si>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</si>
  <si>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</si>
  <si>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</si>
  <si>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</si>
  <si>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</si>
  <si>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</si>
  <si>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</si>
  <si>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</si>
  <si>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</si>
  <si>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</si>
  <si>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</si>
  <si>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</si>
  <si>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</si>
  <si>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</si>
  <si>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</si>
  <si>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</si>
  <si>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</si>
  <si>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</si>
  <si>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</si>
  <si>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</si>
  <si>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</si>
  <si>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</si>
  <si>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</si>
  <si>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</si>
  <si>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</si>
  <si>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</si>
  <si>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</si>
  <si>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</si>
  <si>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</si>
  <si>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</si>
  <si>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</si>
  <si>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</si>
  <si>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</si>
  <si>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</si>
  <si>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</si>
  <si>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</si>
  <si>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</si>
  <si>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</si>
  <si>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</si>
  <si>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</si>
  <si>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</si>
  <si>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</si>
  <si>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</si>
  <si>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</si>
  <si>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</si>
  <si>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</si>
  <si>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</si>
  <si>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</si>
  <si>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</si>
  <si>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</si>
  <si>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</si>
  <si>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</si>
  <si>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</si>
  <si>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</si>
  <si>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MUNICIPIO DE SAN FELIPE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</si>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</sst>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tabSelected="1" zoomScale="90" zoomScaleNormal="90" workbookViewId="0">
      <selection activeCell="B54" sqref="B54:F60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view="pageBreakPreview" topLeftCell="B46" zoomScale="85" zoomScaleNormal="70" zoomScaleSheetLayoutView="85" workbookViewId="0">
      <selection activeCell="A5" sqref="A5:G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MUNICIPIO DE SAN FELIPE,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464299736.19</v>
      </c>
      <c r="C8" s="40">
        <f t="shared" ref="C8:D8" si="0">SUM(C9:C11)</f>
        <v>-8789551.9800000004</v>
      </c>
      <c r="D8" s="40">
        <f t="shared" si="0"/>
        <v>537605960.37</v>
      </c>
    </row>
    <row r="9" spans="1:11" x14ac:dyDescent="0.25">
      <c r="A9" s="53" t="s">
        <v>169</v>
      </c>
      <c r="B9" s="23">
        <v>205844470.19</v>
      </c>
      <c r="C9" s="23">
        <v>-8789551.9800000004</v>
      </c>
      <c r="D9" s="23">
        <v>255590467.49000001</v>
      </c>
    </row>
    <row r="10" spans="1:11" x14ac:dyDescent="0.25">
      <c r="A10" s="53" t="s">
        <v>170</v>
      </c>
      <c r="B10" s="23">
        <v>258455266</v>
      </c>
      <c r="C10" s="23">
        <v>0</v>
      </c>
      <c r="D10" s="23">
        <v>282015492.88</v>
      </c>
    </row>
    <row r="11" spans="1:11" x14ac:dyDescent="0.25">
      <c r="A11" s="53" t="s">
        <v>171</v>
      </c>
      <c r="B11" s="23">
        <v>0</v>
      </c>
      <c r="C11" s="23">
        <v>0</v>
      </c>
      <c r="D11" s="23"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464299736.19</v>
      </c>
      <c r="C13" s="40">
        <f t="shared" ref="C13:D13" si="1">C14+C15</f>
        <v>3264635.8600000003</v>
      </c>
      <c r="D13" s="40">
        <f t="shared" si="1"/>
        <v>440200648.38</v>
      </c>
    </row>
    <row r="14" spans="1:11" x14ac:dyDescent="0.25">
      <c r="A14" s="53" t="s">
        <v>172</v>
      </c>
      <c r="B14" s="23">
        <v>205844470.19</v>
      </c>
      <c r="C14" s="23">
        <v>3009429.1</v>
      </c>
      <c r="D14" s="23">
        <v>196988043.03999999</v>
      </c>
    </row>
    <row r="15" spans="1:11" x14ac:dyDescent="0.25">
      <c r="A15" s="53" t="s">
        <v>173</v>
      </c>
      <c r="B15" s="23">
        <v>258455266</v>
      </c>
      <c r="C15" s="23">
        <v>255206.76</v>
      </c>
      <c r="D15" s="23">
        <v>243212605.34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2">C18+C19</f>
        <v>12054187.84</v>
      </c>
      <c r="D17" s="40">
        <f>D18+D19</f>
        <v>-97405311.99000001</v>
      </c>
    </row>
    <row r="18" spans="1:4" x14ac:dyDescent="0.25">
      <c r="A18" s="53" t="s">
        <v>175</v>
      </c>
      <c r="B18" s="119">
        <v>0</v>
      </c>
      <c r="C18" s="23">
        <v>11798981.08</v>
      </c>
      <c r="D18" s="23">
        <v>-58602424.450000003</v>
      </c>
    </row>
    <row r="19" spans="1:4" x14ac:dyDescent="0.25">
      <c r="A19" s="53" t="s">
        <v>176</v>
      </c>
      <c r="B19" s="119">
        <v>0</v>
      </c>
      <c r="C19" s="23">
        <v>255206.76</v>
      </c>
      <c r="D19" s="117">
        <v>-38802887.539999999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0</v>
      </c>
      <c r="D21" s="40">
        <f t="shared" si="3"/>
        <v>0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4">C21-C11</f>
        <v>0</v>
      </c>
      <c r="D23" s="40">
        <f t="shared" si="4"/>
        <v>0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5">C23-C17</f>
        <v>-12054187.84</v>
      </c>
      <c r="D25" s="40">
        <f>D23-D17</f>
        <v>97405311.99000001</v>
      </c>
    </row>
    <row r="26" spans="1:4" ht="14.25" x14ac:dyDescent="0.45">
      <c r="A26" s="121"/>
      <c r="B26" s="13"/>
      <c r="C26" s="13"/>
      <c r="D26" s="13"/>
    </row>
    <row r="27" spans="1:4" ht="14.25" x14ac:dyDescent="0.45">
      <c r="A27" s="90"/>
    </row>
    <row r="28" spans="1:4" ht="30" customHeight="1" x14ac:dyDescent="0.4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ht="14.25" x14ac:dyDescent="0.4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ht="14.25" x14ac:dyDescent="0.45">
      <c r="A30" s="53" t="s">
        <v>187</v>
      </c>
      <c r="B30" s="60"/>
      <c r="C30" s="60"/>
      <c r="D30" s="60"/>
    </row>
    <row r="31" spans="1:4" ht="14.25" x14ac:dyDescent="0.4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-12054187.84</v>
      </c>
      <c r="D33" s="61">
        <f t="shared" si="7"/>
        <v>97405311.99000001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v>205844470.19</v>
      </c>
      <c r="C48" s="124">
        <v>-8789551.9800000004</v>
      </c>
      <c r="D48" s="124">
        <v>255590467.49000001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1">C50-C51</f>
        <v>0</v>
      </c>
      <c r="D49" s="61">
        <f t="shared" si="11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v>205844470.19</v>
      </c>
      <c r="C53" s="60">
        <v>3009429.1</v>
      </c>
      <c r="D53" s="60">
        <v>196988043.03999999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v>11798981.08</v>
      </c>
      <c r="D55" s="60">
        <v>-58602424.450000003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0</v>
      </c>
      <c r="D57" s="61">
        <f t="shared" ref="D57" si="12">D48+D49-D53+D55</f>
        <v>0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3">C57-C49</f>
        <v>0</v>
      </c>
      <c r="D59" s="61">
        <f t="shared" si="13"/>
        <v>0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v>258455266</v>
      </c>
      <c r="C63" s="122">
        <v>0</v>
      </c>
      <c r="D63" s="122">
        <v>282015492.88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4">C65-C66</f>
        <v>0</v>
      </c>
      <c r="D64" s="40">
        <f t="shared" si="14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v>258455266</v>
      </c>
      <c r="C68" s="23">
        <v>255206.76</v>
      </c>
      <c r="D68" s="23">
        <v>243212605.34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v>255206.76</v>
      </c>
      <c r="D70" s="23">
        <v>-38802887.539999999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15">C63+C64-C68+C70</f>
        <v>0</v>
      </c>
      <c r="D72" s="40">
        <f t="shared" si="15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16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464299736.19</v>
      </c>
      <c r="Q2" s="18">
        <f>'Formato 4'!C8</f>
        <v>-8789551.9800000004</v>
      </c>
      <c r="R2" s="18">
        <f>'Formato 4'!D8</f>
        <v>537605960.37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205844470.19</v>
      </c>
      <c r="Q3" s="18">
        <f>'Formato 4'!C9</f>
        <v>-8789551.9800000004</v>
      </c>
      <c r="R3" s="18">
        <f>'Formato 4'!D9</f>
        <v>255590467.49000001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258455266</v>
      </c>
      <c r="Q4" s="18">
        <f>'Formato 4'!C10</f>
        <v>0</v>
      </c>
      <c r="R4" s="18">
        <f>'Formato 4'!D10</f>
        <v>282015492.88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464299736.19</v>
      </c>
      <c r="Q6" s="18">
        <f>'Formato 4'!C13</f>
        <v>3264635.8600000003</v>
      </c>
      <c r="R6" s="18">
        <f>'Formato 4'!D13</f>
        <v>440200648.38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205844470.19</v>
      </c>
      <c r="Q7" s="18">
        <f>'Formato 4'!C14</f>
        <v>3009429.1</v>
      </c>
      <c r="R7" s="18">
        <f>'Formato 4'!D14</f>
        <v>196988043.03999999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258455266</v>
      </c>
      <c r="Q8" s="18">
        <f>'Formato 4'!C15</f>
        <v>255206.76</v>
      </c>
      <c r="R8" s="18">
        <f>'Formato 4'!D15</f>
        <v>243212605.34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12054187.84</v>
      </c>
      <c r="R9" s="18">
        <f>'Formato 4'!D17</f>
        <v>-97405311.99000001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11798981.08</v>
      </c>
      <c r="R10" s="18">
        <f>'Formato 4'!D18</f>
        <v>-58602424.450000003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255206.76</v>
      </c>
      <c r="R11" s="18">
        <f>'Formato 4'!D19</f>
        <v>-38802887.539999999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0</v>
      </c>
      <c r="R12" s="18">
        <f>'Formato 4'!D21</f>
        <v>0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0</v>
      </c>
      <c r="R13" s="18">
        <f>'Formato 4'!D23</f>
        <v>0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-12054187.84</v>
      </c>
      <c r="R14" s="18">
        <f>'Formato 4'!D25</f>
        <v>97405311.99000001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-12054187.84</v>
      </c>
      <c r="R18">
        <f>'Formato 4'!D33</f>
        <v>97405311.99000001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205844470.19</v>
      </c>
      <c r="Q26">
        <f>'Formato 4'!C48</f>
        <v>-8789551.9800000004</v>
      </c>
      <c r="R26">
        <f>'Formato 4'!D48</f>
        <v>255590467.49000001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205844470.19</v>
      </c>
      <c r="Q30">
        <f>'Formato 4'!C53</f>
        <v>3009429.1</v>
      </c>
      <c r="R30">
        <f>'Formato 4'!D53</f>
        <v>196988043.03999999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11798981.08</v>
      </c>
      <c r="R31">
        <f>'Formato 4'!D55</f>
        <v>-58602424.450000003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258455266</v>
      </c>
      <c r="Q32">
        <f>'Formato 4'!C63</f>
        <v>0</v>
      </c>
      <c r="R32">
        <f>'Formato 4'!D63</f>
        <v>282015492.88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258455266</v>
      </c>
      <c r="Q36">
        <f>'Formato 4'!C68</f>
        <v>255206.76</v>
      </c>
      <c r="R36">
        <f>'Formato 4'!D68</f>
        <v>243212605.34</v>
      </c>
    </row>
    <row r="37" spans="1:18" ht="14.25" x14ac:dyDescent="0.4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255206.76</v>
      </c>
      <c r="R37">
        <f>'Formato 4'!D70</f>
        <v>-38802887.539999999</v>
      </c>
    </row>
    <row r="38" spans="1:18" ht="14.25" x14ac:dyDescent="0.4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ht="14.25" x14ac:dyDescent="0.4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>
    <pageSetUpPr fitToPage="1"/>
  </sheetPr>
  <dimension ref="A1:H76"/>
  <sheetViews>
    <sheetView showGridLines="0" view="pageBreakPreview" topLeftCell="A25" zoomScale="55" zoomScaleNormal="85" zoomScaleSheetLayoutView="55" workbookViewId="0">
      <selection activeCell="A5" sqref="A5:G5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-19042124.440000001</v>
      </c>
      <c r="C9" s="60">
        <v>-2670403.5499999998</v>
      </c>
      <c r="D9" s="60">
        <v>-21712527.989999998</v>
      </c>
      <c r="E9" s="60">
        <v>0</v>
      </c>
      <c r="F9" s="60">
        <v>-21746751.109999999</v>
      </c>
      <c r="G9" s="60">
        <f>F9-B9</f>
        <v>-2704626.6699999981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-5322168.63</v>
      </c>
      <c r="C12" s="60">
        <v>-115917.82999999984</v>
      </c>
      <c r="D12" s="60">
        <v>-5438086.46</v>
      </c>
      <c r="E12" s="60">
        <v>0</v>
      </c>
      <c r="F12" s="60">
        <v>-5599666.0800000001</v>
      </c>
      <c r="G12" s="60">
        <f t="shared" si="0"/>
        <v>-277497.45000000019</v>
      </c>
    </row>
    <row r="13" spans="1:8" x14ac:dyDescent="0.25">
      <c r="A13" s="53" t="s">
        <v>220</v>
      </c>
      <c r="B13" s="60">
        <v>-7414249.3300000001</v>
      </c>
      <c r="C13" s="60">
        <v>3581075.34</v>
      </c>
      <c r="D13" s="60">
        <v>-3833173.99</v>
      </c>
      <c r="E13" s="60">
        <v>0</v>
      </c>
      <c r="F13" s="60">
        <v>-3800730.37</v>
      </c>
      <c r="G13" s="60">
        <f t="shared" si="0"/>
        <v>3613518.96</v>
      </c>
    </row>
    <row r="14" spans="1:8" x14ac:dyDescent="0.25">
      <c r="A14" s="53" t="s">
        <v>221</v>
      </c>
      <c r="B14" s="60">
        <v>-2617344.6</v>
      </c>
      <c r="C14" s="60">
        <v>210273.35000000009</v>
      </c>
      <c r="D14" s="60">
        <v>-2407071.25</v>
      </c>
      <c r="E14" s="60">
        <v>0</v>
      </c>
      <c r="F14" s="60">
        <v>-2571182.37</v>
      </c>
      <c r="G14" s="60">
        <f t="shared" si="0"/>
        <v>46162.229999999981</v>
      </c>
    </row>
    <row r="15" spans="1:8" x14ac:dyDescent="0.25">
      <c r="A15" s="53" t="s">
        <v>222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 t="shared" si="0"/>
        <v>0</v>
      </c>
    </row>
    <row r="16" spans="1:8" ht="14.25" x14ac:dyDescent="0.45">
      <c r="A16" s="10" t="s">
        <v>275</v>
      </c>
      <c r="B16" s="60">
        <f>SUM(B17:B27)</f>
        <v>-121053964</v>
      </c>
      <c r="C16" s="60">
        <f t="shared" ref="C16:F16" si="1">SUM(C17:C27)</f>
        <v>5685625.6899999976</v>
      </c>
      <c r="D16" s="60">
        <f t="shared" si="1"/>
        <v>-115368338.31</v>
      </c>
      <c r="E16" s="60">
        <f t="shared" si="1"/>
        <v>8664241.7899999991</v>
      </c>
      <c r="F16" s="60">
        <f t="shared" si="1"/>
        <v>-130983422.13999999</v>
      </c>
      <c r="G16" s="60">
        <f>SUM(G17:G27)</f>
        <v>143655363.91999999</v>
      </c>
    </row>
    <row r="17" spans="1:7" x14ac:dyDescent="0.25">
      <c r="A17" s="63" t="s">
        <v>223</v>
      </c>
      <c r="B17" s="60">
        <v>-79713964</v>
      </c>
      <c r="C17" s="60">
        <v>2252735.1599999992</v>
      </c>
      <c r="D17" s="60">
        <v>-77461228.840000004</v>
      </c>
      <c r="E17" s="60">
        <v>6124229.7599999998</v>
      </c>
      <c r="F17" s="60">
        <v>-88152921.069999993</v>
      </c>
      <c r="G17" s="60">
        <v>145145864.99000001</v>
      </c>
    </row>
    <row r="18" spans="1:7" x14ac:dyDescent="0.25">
      <c r="A18" s="63" t="s">
        <v>224</v>
      </c>
      <c r="B18" s="60">
        <v>-25900000</v>
      </c>
      <c r="C18" s="60">
        <v>2136161.9</v>
      </c>
      <c r="D18" s="60">
        <v>-23763838.100000001</v>
      </c>
      <c r="E18" s="60">
        <v>1908946.87</v>
      </c>
      <c r="F18" s="60">
        <v>-27408704.940000001</v>
      </c>
      <c r="G18" s="60">
        <f t="shared" ref="G18:G27" si="2">F18-B18</f>
        <v>-1508704.9400000013</v>
      </c>
    </row>
    <row r="19" spans="1:7" x14ac:dyDescent="0.25">
      <c r="A19" s="63" t="s">
        <v>225</v>
      </c>
      <c r="B19" s="60">
        <v>-4500000</v>
      </c>
      <c r="C19" s="60">
        <v>-101425</v>
      </c>
      <c r="D19" s="60">
        <v>-4601425</v>
      </c>
      <c r="E19" s="60">
        <v>203880.85</v>
      </c>
      <c r="F19" s="60">
        <v>-4946160.8</v>
      </c>
      <c r="G19" s="60">
        <f t="shared" si="2"/>
        <v>-446160.79999999981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-2900000</v>
      </c>
      <c r="C22" s="60">
        <v>350248.97</v>
      </c>
      <c r="D22" s="60">
        <v>-2549751.0299999998</v>
      </c>
      <c r="E22" s="60">
        <v>79054.31</v>
      </c>
      <c r="F22" s="60">
        <v>-2687917.97</v>
      </c>
      <c r="G22" s="60">
        <f t="shared" si="2"/>
        <v>212082.0299999998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-3350000</v>
      </c>
      <c r="C24" s="60">
        <v>1119611.97</v>
      </c>
      <c r="D24" s="60">
        <v>-2230388.0299999998</v>
      </c>
      <c r="E24" s="60">
        <v>0</v>
      </c>
      <c r="F24" s="60">
        <v>-2227530.84</v>
      </c>
      <c r="G24" s="60">
        <f t="shared" si="2"/>
        <v>1122469.1600000001</v>
      </c>
    </row>
    <row r="25" spans="1:7" x14ac:dyDescent="0.25">
      <c r="A25" s="63" t="s">
        <v>231</v>
      </c>
      <c r="B25" s="60">
        <v>-4690000</v>
      </c>
      <c r="C25" s="60">
        <v>-71707.310000000056</v>
      </c>
      <c r="D25" s="60">
        <v>-4761707.3099999996</v>
      </c>
      <c r="E25" s="60">
        <v>348130</v>
      </c>
      <c r="F25" s="60">
        <v>-5560186.5199999996</v>
      </c>
      <c r="G25" s="60">
        <f t="shared" si="2"/>
        <v>-870186.51999999955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-1577630</v>
      </c>
      <c r="C28" s="60">
        <f t="shared" ref="C28:G28" si="3">SUM(C29:C33)</f>
        <v>298871.14999999997</v>
      </c>
      <c r="D28" s="60">
        <f t="shared" si="3"/>
        <v>-1278758.8500000001</v>
      </c>
      <c r="E28" s="60">
        <f t="shared" si="3"/>
        <v>116059.14</v>
      </c>
      <c r="F28" s="60">
        <f t="shared" si="3"/>
        <v>-1415140.99</v>
      </c>
      <c r="G28" s="60">
        <f t="shared" si="3"/>
        <v>162489.01000000007</v>
      </c>
    </row>
    <row r="29" spans="1:7" x14ac:dyDescent="0.25">
      <c r="A29" s="63" t="s">
        <v>235</v>
      </c>
      <c r="B29" s="60">
        <v>-7350</v>
      </c>
      <c r="C29" s="60">
        <v>-8232.82</v>
      </c>
      <c r="D29" s="60">
        <v>-15582.82</v>
      </c>
      <c r="E29" s="60">
        <v>1028.99</v>
      </c>
      <c r="F29" s="60">
        <v>-16611.810000000001</v>
      </c>
      <c r="G29" s="60">
        <f>F29-B29</f>
        <v>-9261.8100000000013</v>
      </c>
    </row>
    <row r="30" spans="1:7" x14ac:dyDescent="0.25">
      <c r="A30" s="63" t="s">
        <v>236</v>
      </c>
      <c r="B30" s="60">
        <v>-152680</v>
      </c>
      <c r="C30" s="60">
        <v>-110822.88</v>
      </c>
      <c r="D30" s="60">
        <v>-263502.88</v>
      </c>
      <c r="E30" s="60">
        <v>0</v>
      </c>
      <c r="F30" s="60">
        <v>-283825.88</v>
      </c>
      <c r="G30" s="60">
        <f>F30-B30</f>
        <v>-131145.88</v>
      </c>
    </row>
    <row r="31" spans="1:7" x14ac:dyDescent="0.25">
      <c r="A31" s="63" t="s">
        <v>237</v>
      </c>
      <c r="B31" s="60">
        <v>-800000</v>
      </c>
      <c r="C31" s="60">
        <v>-171379.38</v>
      </c>
      <c r="D31" s="60">
        <v>-971379.38</v>
      </c>
      <c r="E31" s="60">
        <v>111041.81</v>
      </c>
      <c r="F31" s="60">
        <v>-1082421.19</v>
      </c>
      <c r="G31" s="60">
        <f t="shared" ref="G31:G34" si="4">F31-B31</f>
        <v>-282421.18999999994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-617600</v>
      </c>
      <c r="C33" s="60">
        <v>589306.23</v>
      </c>
      <c r="D33" s="60">
        <v>-28293.77</v>
      </c>
      <c r="E33" s="60">
        <v>3988.34</v>
      </c>
      <c r="F33" s="60">
        <v>-32282.11</v>
      </c>
      <c r="G33" s="60">
        <f t="shared" si="4"/>
        <v>585317.89</v>
      </c>
    </row>
    <row r="34" spans="1:8" ht="14.25" x14ac:dyDescent="0.45">
      <c r="A34" s="53" t="s">
        <v>240</v>
      </c>
      <c r="B34" s="60"/>
      <c r="C34" s="60"/>
      <c r="D34" s="60"/>
      <c r="E34" s="60"/>
      <c r="F34" s="60"/>
      <c r="G34" s="60">
        <f t="shared" si="4"/>
        <v>0</v>
      </c>
    </row>
    <row r="35" spans="1:8" ht="14.25" x14ac:dyDescent="0.45">
      <c r="A35" s="53" t="s">
        <v>241</v>
      </c>
      <c r="B35" s="60">
        <f>B36</f>
        <v>-14275974</v>
      </c>
      <c r="C35" s="60">
        <f t="shared" ref="C35:F35" si="5">C36</f>
        <v>-45855729.609999999</v>
      </c>
      <c r="D35" s="60">
        <f t="shared" si="5"/>
        <v>-60131703.609999999</v>
      </c>
      <c r="E35" s="60">
        <f t="shared" si="5"/>
        <v>9251.0499999999993</v>
      </c>
      <c r="F35" s="60">
        <f t="shared" si="5"/>
        <v>-40424594.68999999</v>
      </c>
      <c r="G35" s="60">
        <f>G36</f>
        <v>-26148620.68999999</v>
      </c>
    </row>
    <row r="36" spans="1:8" x14ac:dyDescent="0.25">
      <c r="A36" s="63" t="s">
        <v>242</v>
      </c>
      <c r="B36" s="60">
        <v>-14275974</v>
      </c>
      <c r="C36" s="60">
        <v>-45855729.609999999</v>
      </c>
      <c r="D36" s="60">
        <v>-60131703.609999999</v>
      </c>
      <c r="E36" s="60">
        <v>9251.0499999999993</v>
      </c>
      <c r="F36" s="60">
        <v>-40424594.68999999</v>
      </c>
      <c r="G36" s="60">
        <f>F36-B36</f>
        <v>-26148620.68999999</v>
      </c>
    </row>
    <row r="37" spans="1:8" x14ac:dyDescent="0.25">
      <c r="A37" s="53" t="s">
        <v>243</v>
      </c>
      <c r="B37" s="60">
        <f>B38+B39</f>
        <v>-34541015.189999998</v>
      </c>
      <c r="C37" s="60">
        <f t="shared" ref="C37:G37" si="6">C38+C39</f>
        <v>-14507964.549999999</v>
      </c>
      <c r="D37" s="60">
        <f t="shared" si="6"/>
        <v>-49048979.740000002</v>
      </c>
      <c r="E37" s="60">
        <f t="shared" si="6"/>
        <v>0</v>
      </c>
      <c r="F37" s="60">
        <f t="shared" si="6"/>
        <v>-49048979.740000002</v>
      </c>
      <c r="G37" s="60">
        <f t="shared" si="6"/>
        <v>-14507964.550000004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-34541015.189999998</v>
      </c>
      <c r="C39" s="60">
        <v>-14507964.549999999</v>
      </c>
      <c r="D39" s="60">
        <v>-49048979.740000002</v>
      </c>
      <c r="E39" s="60">
        <v>0</v>
      </c>
      <c r="F39" s="60">
        <v>-49048979.740000002</v>
      </c>
      <c r="G39" s="60">
        <f>F39-B39</f>
        <v>-14507964.550000004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-205844470.19</v>
      </c>
      <c r="C41" s="61">
        <f t="shared" ref="C41:E41" si="7">SUM(C9,C10,C11,C12,C13,C14,C15,C16,C28,C34,C35,C37)</f>
        <v>-53374170.009999998</v>
      </c>
      <c r="D41" s="61">
        <f t="shared" si="7"/>
        <v>-259218640.19999999</v>
      </c>
      <c r="E41" s="61">
        <f t="shared" si="7"/>
        <v>8789551.9800000004</v>
      </c>
      <c r="F41" s="61">
        <f>SUM(F9,F10,F11,F12,F13,F14,F15,F16,F28,F34,F35,F37)</f>
        <v>-255590467.49000001</v>
      </c>
      <c r="G41" s="61">
        <f>SUM(G9,G10,G11,G12,G13,G14,G15,G16,G28,G34,G35,G37)</f>
        <v>103838824.75999996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103838824.75999996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-212128952</v>
      </c>
      <c r="C45" s="60">
        <f t="shared" ref="C45:G45" si="8">SUM(C46:C53)</f>
        <v>0</v>
      </c>
      <c r="D45" s="60">
        <f>SUM(D46:D53)</f>
        <v>-216757813.09</v>
      </c>
      <c r="E45" s="60">
        <f t="shared" si="8"/>
        <v>0</v>
      </c>
      <c r="F45" s="60">
        <f t="shared" si="8"/>
        <v>-216448737.74000001</v>
      </c>
      <c r="G45" s="60">
        <f t="shared" si="8"/>
        <v>-4319785.7400000039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-127641903</v>
      </c>
      <c r="C48" s="60">
        <v>0</v>
      </c>
      <c r="D48" s="60">
        <v>-130055578.14</v>
      </c>
      <c r="E48" s="60">
        <v>0</v>
      </c>
      <c r="F48" s="60">
        <v>-130055578.14</v>
      </c>
      <c r="G48" s="60">
        <f t="shared" si="9"/>
        <v>-2413675.1400000006</v>
      </c>
    </row>
    <row r="49" spans="1:7" ht="30" x14ac:dyDescent="0.25">
      <c r="A49" s="69" t="s">
        <v>252</v>
      </c>
      <c r="B49" s="60">
        <v>-76545833</v>
      </c>
      <c r="C49" s="60">
        <v>0</v>
      </c>
      <c r="D49" s="60">
        <v>-78746930.950000003</v>
      </c>
      <c r="E49" s="60">
        <v>0</v>
      </c>
      <c r="F49" s="60">
        <v>-78746930.950000003</v>
      </c>
      <c r="G49" s="60">
        <f t="shared" si="9"/>
        <v>-2201097.950000003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-7941216</v>
      </c>
      <c r="C52" s="60"/>
      <c r="D52" s="60">
        <v>-7955304</v>
      </c>
      <c r="E52" s="60">
        <v>0</v>
      </c>
      <c r="F52" s="60">
        <v>-7646228.6500000004</v>
      </c>
      <c r="G52" s="60">
        <f t="shared" si="9"/>
        <v>294987.34999999963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-19547514</v>
      </c>
      <c r="C54" s="60">
        <f t="shared" ref="C54:G54" si="10">SUM(C55:C58)</f>
        <v>0</v>
      </c>
      <c r="D54" s="60">
        <f>SUM(D55:D58)</f>
        <v>-38292061.960000008</v>
      </c>
      <c r="E54" s="60">
        <f t="shared" si="10"/>
        <v>0</v>
      </c>
      <c r="F54" s="60">
        <f>SUM(F55:F58)</f>
        <v>-22701336.030000001</v>
      </c>
      <c r="G54" s="60">
        <f t="shared" si="10"/>
        <v>-3153822.0300000012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-19547514</v>
      </c>
      <c r="C58" s="60">
        <v>0</v>
      </c>
      <c r="D58" s="60">
        <v>-38292061.960000008</v>
      </c>
      <c r="E58" s="60">
        <v>0</v>
      </c>
      <c r="F58" s="60">
        <v>-22701336.030000001</v>
      </c>
      <c r="G58" s="60">
        <f t="shared" si="11"/>
        <v>-3153822.0300000012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>
        <f>F60-B60</f>
        <v>0</v>
      </c>
    </row>
    <row r="61" spans="1:7" x14ac:dyDescent="0.25">
      <c r="A61" s="69" t="s">
        <v>264</v>
      </c>
      <c r="B61" s="60"/>
      <c r="C61" s="60"/>
      <c r="D61" s="60"/>
      <c r="E61" s="60"/>
      <c r="F61" s="60"/>
      <c r="G61" s="60">
        <f>F61-B61</f>
        <v>0</v>
      </c>
    </row>
    <row r="62" spans="1:7" x14ac:dyDescent="0.25">
      <c r="A62" s="53" t="s">
        <v>265</v>
      </c>
      <c r="B62" s="60"/>
      <c r="C62" s="60"/>
      <c r="D62" s="60"/>
      <c r="E62" s="60"/>
      <c r="F62" s="60"/>
      <c r="G62" s="60">
        <f>F62-B62</f>
        <v>0</v>
      </c>
    </row>
    <row r="63" spans="1:7" x14ac:dyDescent="0.25">
      <c r="A63" s="53" t="s">
        <v>266</v>
      </c>
      <c r="B63" s="60"/>
      <c r="C63" s="60"/>
      <c r="D63" s="60"/>
      <c r="E63" s="60"/>
      <c r="F63" s="60"/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-231676466</v>
      </c>
      <c r="C65" s="61">
        <f t="shared" ref="C65:G65" si="13">C45+C54+C59+C62+C63</f>
        <v>0</v>
      </c>
      <c r="D65" s="61">
        <f t="shared" si="13"/>
        <v>-255049875.05000001</v>
      </c>
      <c r="E65" s="61">
        <f t="shared" si="13"/>
        <v>0</v>
      </c>
      <c r="F65" s="61">
        <f t="shared" si="13"/>
        <v>-239150073.77000001</v>
      </c>
      <c r="G65" s="61">
        <f t="shared" si="13"/>
        <v>-7473607.7700000051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-26778800</v>
      </c>
      <c r="C67" s="61">
        <f t="shared" ref="C67:G67" si="14">C68</f>
        <v>0</v>
      </c>
      <c r="D67" s="61">
        <f t="shared" si="14"/>
        <v>-42865414.109999999</v>
      </c>
      <c r="E67" s="61">
        <f t="shared" si="14"/>
        <v>0</v>
      </c>
      <c r="F67" s="61">
        <f t="shared" si="14"/>
        <v>-42865414.109999999</v>
      </c>
      <c r="G67" s="61">
        <f t="shared" si="14"/>
        <v>-16086614.109999999</v>
      </c>
    </row>
    <row r="68" spans="1:7" x14ac:dyDescent="0.25">
      <c r="A68" s="53" t="s">
        <v>269</v>
      </c>
      <c r="B68" s="60">
        <v>-26778800</v>
      </c>
      <c r="C68" s="60"/>
      <c r="D68" s="60">
        <v>-42865414.109999999</v>
      </c>
      <c r="E68" s="60">
        <v>0</v>
      </c>
      <c r="F68" s="60">
        <v>-42865414.109999999</v>
      </c>
      <c r="G68" s="60">
        <f>F68-B68</f>
        <v>-16086614.109999999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-464299736.19</v>
      </c>
      <c r="C70" s="61">
        <f t="shared" ref="C70:G70" si="15">C41+C65+C67</f>
        <v>-53374170.009999998</v>
      </c>
      <c r="D70" s="61">
        <f t="shared" si="15"/>
        <v>-557133929.36000001</v>
      </c>
      <c r="E70" s="61">
        <f t="shared" si="15"/>
        <v>8789551.9800000004</v>
      </c>
      <c r="F70" s="61">
        <f t="shared" si="15"/>
        <v>-537605955.37</v>
      </c>
      <c r="G70" s="61">
        <f t="shared" si="15"/>
        <v>80278602.879999951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-34541015.189999998</v>
      </c>
      <c r="C73" s="60">
        <v>-14507964.549999999</v>
      </c>
      <c r="D73" s="60">
        <v>-49048979.740000002</v>
      </c>
      <c r="E73" s="60">
        <v>0</v>
      </c>
      <c r="F73" s="60">
        <v>-49048979.740000002</v>
      </c>
      <c r="G73" s="60">
        <f>F73-B73</f>
        <v>-14507964.550000004</v>
      </c>
    </row>
    <row r="74" spans="1:7" ht="30" x14ac:dyDescent="0.25">
      <c r="A74" s="130" t="s">
        <v>273</v>
      </c>
      <c r="B74" s="60">
        <v>-26778800</v>
      </c>
      <c r="C74" s="60"/>
      <c r="D74" s="60">
        <v>-42865414.109999999</v>
      </c>
      <c r="E74" s="60">
        <v>0</v>
      </c>
      <c r="F74" s="60">
        <v>-42865414.109999999</v>
      </c>
      <c r="G74" s="60">
        <f>F74-B74</f>
        <v>-16086614.109999999</v>
      </c>
    </row>
    <row r="75" spans="1:7" x14ac:dyDescent="0.25">
      <c r="A75" s="120" t="s">
        <v>274</v>
      </c>
      <c r="B75" s="61">
        <f>B73+B74</f>
        <v>-61319815.189999998</v>
      </c>
      <c r="C75" s="61">
        <f t="shared" ref="C75:G75" si="16">C73+C74</f>
        <v>-14507964.549999999</v>
      </c>
      <c r="D75" s="61">
        <f t="shared" si="16"/>
        <v>-91914393.849999994</v>
      </c>
      <c r="E75" s="61">
        <f t="shared" si="16"/>
        <v>0</v>
      </c>
      <c r="F75" s="61">
        <f t="shared" si="16"/>
        <v>-91914393.849999994</v>
      </c>
      <c r="G75" s="61">
        <f t="shared" si="16"/>
        <v>-30594578.660000004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scale="56" fitToHeight="0" orientation="landscape" r:id="rId1"/>
  <rowBreaks count="1" manualBreakCount="1"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-19042124.440000001</v>
      </c>
      <c r="Q3" s="18">
        <f>'Formato 5'!C9</f>
        <v>-2670403.5499999998</v>
      </c>
      <c r="R3" s="18">
        <f>'Formato 5'!D9</f>
        <v>-21712527.989999998</v>
      </c>
      <c r="S3" s="18">
        <f>'Formato 5'!E9</f>
        <v>0</v>
      </c>
      <c r="T3" s="18">
        <f>'Formato 5'!F9</f>
        <v>-21746751.109999999</v>
      </c>
      <c r="U3" s="18">
        <f>'Formato 5'!G9</f>
        <v>-2704626.6699999981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-5322168.63</v>
      </c>
      <c r="Q6" s="18">
        <f>'Formato 5'!C12</f>
        <v>-115917.82999999984</v>
      </c>
      <c r="R6" s="18">
        <f>'Formato 5'!D12</f>
        <v>-5438086.46</v>
      </c>
      <c r="S6" s="18">
        <f>'Formato 5'!E12</f>
        <v>0</v>
      </c>
      <c r="T6" s="18">
        <f>'Formato 5'!F12</f>
        <v>-5599666.0800000001</v>
      </c>
      <c r="U6" s="18">
        <f>'Formato 5'!G12</f>
        <v>-277497.45000000019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-7414249.3300000001</v>
      </c>
      <c r="Q7" s="18">
        <f>'Formato 5'!C13</f>
        <v>3581075.34</v>
      </c>
      <c r="R7" s="18">
        <f>'Formato 5'!D13</f>
        <v>-3833173.99</v>
      </c>
      <c r="S7" s="18">
        <f>'Formato 5'!E13</f>
        <v>0</v>
      </c>
      <c r="T7" s="18">
        <f>'Formato 5'!F13</f>
        <v>-3800730.37</v>
      </c>
      <c r="U7" s="18">
        <f>'Formato 5'!G13</f>
        <v>3613518.96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-2617344.6</v>
      </c>
      <c r="Q8" s="18">
        <f>'Formato 5'!C14</f>
        <v>210273.35000000009</v>
      </c>
      <c r="R8" s="18">
        <f>'Formato 5'!D14</f>
        <v>-2407071.25</v>
      </c>
      <c r="S8" s="18">
        <f>'Formato 5'!E14</f>
        <v>0</v>
      </c>
      <c r="T8" s="18">
        <f>'Formato 5'!F14</f>
        <v>-2571182.37</v>
      </c>
      <c r="U8" s="18">
        <f>'Formato 5'!G14</f>
        <v>46162.229999999981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0</v>
      </c>
      <c r="Q9" s="18">
        <f>'Formato 5'!C15</f>
        <v>0</v>
      </c>
      <c r="R9" s="18">
        <f>'Formato 5'!D15</f>
        <v>0</v>
      </c>
      <c r="S9" s="18">
        <f>'Formato 5'!E15</f>
        <v>0</v>
      </c>
      <c r="T9" s="18">
        <f>'Formato 5'!F15</f>
        <v>0</v>
      </c>
      <c r="U9" s="18">
        <f>'Formato 5'!G15</f>
        <v>0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-121053964</v>
      </c>
      <c r="Q10" s="18">
        <f>'Formato 5'!C16</f>
        <v>5685625.6899999976</v>
      </c>
      <c r="R10" s="18">
        <f>'Formato 5'!D16</f>
        <v>-115368338.31</v>
      </c>
      <c r="S10" s="18">
        <f>'Formato 5'!E16</f>
        <v>8664241.7899999991</v>
      </c>
      <c r="T10" s="18">
        <f>'Formato 5'!F16</f>
        <v>-130983422.13999999</v>
      </c>
      <c r="U10" s="18">
        <f>'Formato 5'!G16</f>
        <v>143655363.91999999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-79713964</v>
      </c>
      <c r="Q11" s="18">
        <f>'Formato 5'!C17</f>
        <v>2252735.1599999992</v>
      </c>
      <c r="R11" s="18">
        <f>'Formato 5'!D17</f>
        <v>-77461228.840000004</v>
      </c>
      <c r="S11" s="18">
        <f>'Formato 5'!E17</f>
        <v>6124229.7599999998</v>
      </c>
      <c r="T11" s="18">
        <f>'Formato 5'!F17</f>
        <v>-88152921.069999993</v>
      </c>
      <c r="U11" s="18">
        <f>'Formato 5'!G17</f>
        <v>145145864.99000001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-25900000</v>
      </c>
      <c r="Q12" s="18">
        <f>'Formato 5'!C18</f>
        <v>2136161.9</v>
      </c>
      <c r="R12" s="18">
        <f>'Formato 5'!D18</f>
        <v>-23763838.100000001</v>
      </c>
      <c r="S12" s="18">
        <f>'Formato 5'!E18</f>
        <v>1908946.87</v>
      </c>
      <c r="T12" s="18">
        <f>'Formato 5'!F18</f>
        <v>-27408704.940000001</v>
      </c>
      <c r="U12" s="18">
        <f>'Formato 5'!G18</f>
        <v>-1508704.9400000013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-4500000</v>
      </c>
      <c r="Q13" s="18">
        <f>'Formato 5'!C19</f>
        <v>-101425</v>
      </c>
      <c r="R13" s="18">
        <f>'Formato 5'!D19</f>
        <v>-4601425</v>
      </c>
      <c r="S13" s="18">
        <f>'Formato 5'!E19</f>
        <v>203880.85</v>
      </c>
      <c r="T13" s="18">
        <f>'Formato 5'!F19</f>
        <v>-4946160.8</v>
      </c>
      <c r="U13" s="18">
        <f>'Formato 5'!G19</f>
        <v>-446160.79999999981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-2900000</v>
      </c>
      <c r="Q16" s="18">
        <f>'Formato 5'!C22</f>
        <v>350248.97</v>
      </c>
      <c r="R16" s="18">
        <f>'Formato 5'!D22</f>
        <v>-2549751.0299999998</v>
      </c>
      <c r="S16" s="18">
        <f>'Formato 5'!E22</f>
        <v>79054.31</v>
      </c>
      <c r="T16" s="18">
        <f>'Formato 5'!F22</f>
        <v>-2687917.97</v>
      </c>
      <c r="U16" s="18">
        <f>'Formato 5'!G22</f>
        <v>212082.0299999998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-3350000</v>
      </c>
      <c r="Q18" s="18">
        <f>'Formato 5'!C24</f>
        <v>1119611.97</v>
      </c>
      <c r="R18" s="18">
        <f>'Formato 5'!D24</f>
        <v>-2230388.0299999998</v>
      </c>
      <c r="S18" s="18">
        <f>'Formato 5'!E24</f>
        <v>0</v>
      </c>
      <c r="T18" s="18">
        <f>'Formato 5'!F24</f>
        <v>-2227530.84</v>
      </c>
      <c r="U18" s="18">
        <f>'Formato 5'!G24</f>
        <v>1122469.1600000001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-4690000</v>
      </c>
      <c r="Q19" s="18">
        <f>'Formato 5'!C25</f>
        <v>-71707.310000000056</v>
      </c>
      <c r="R19" s="18">
        <f>'Formato 5'!D25</f>
        <v>-4761707.3099999996</v>
      </c>
      <c r="S19" s="18">
        <f>'Formato 5'!E25</f>
        <v>348130</v>
      </c>
      <c r="T19" s="18">
        <f>'Formato 5'!F25</f>
        <v>-5560186.5199999996</v>
      </c>
      <c r="U19" s="18">
        <f>'Formato 5'!G25</f>
        <v>-870186.51999999955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-1577630</v>
      </c>
      <c r="Q22" s="18">
        <f>'Formato 5'!C28</f>
        <v>298871.14999999997</v>
      </c>
      <c r="R22" s="18">
        <f>'Formato 5'!D28</f>
        <v>-1278758.8500000001</v>
      </c>
      <c r="S22" s="18">
        <f>'Formato 5'!E28</f>
        <v>116059.14</v>
      </c>
      <c r="T22" s="18">
        <f>'Formato 5'!F28</f>
        <v>-1415140.99</v>
      </c>
      <c r="U22" s="18">
        <f>'Formato 5'!G28</f>
        <v>162489.01000000007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-7350</v>
      </c>
      <c r="Q23" s="18">
        <f>'Formato 5'!C29</f>
        <v>-8232.82</v>
      </c>
      <c r="R23" s="18">
        <f>'Formato 5'!D29</f>
        <v>-15582.82</v>
      </c>
      <c r="S23" s="18">
        <f>'Formato 5'!E29</f>
        <v>1028.99</v>
      </c>
      <c r="T23" s="18">
        <f>'Formato 5'!F29</f>
        <v>-16611.810000000001</v>
      </c>
      <c r="U23" s="18">
        <f>'Formato 5'!G29</f>
        <v>-9261.8100000000013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-152680</v>
      </c>
      <c r="Q24" s="18">
        <f>'Formato 5'!C30</f>
        <v>-110822.88</v>
      </c>
      <c r="R24" s="18">
        <f>'Formato 5'!D30</f>
        <v>-263502.88</v>
      </c>
      <c r="S24" s="18">
        <f>'Formato 5'!E30</f>
        <v>0</v>
      </c>
      <c r="T24" s="18">
        <f>'Formato 5'!F30</f>
        <v>-283825.88</v>
      </c>
      <c r="U24" s="18">
        <f>'Formato 5'!G30</f>
        <v>-131145.88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-800000</v>
      </c>
      <c r="Q25" s="18">
        <f>'Formato 5'!C31</f>
        <v>-171379.38</v>
      </c>
      <c r="R25" s="18">
        <f>'Formato 5'!D31</f>
        <v>-971379.38</v>
      </c>
      <c r="S25" s="18">
        <f>'Formato 5'!E31</f>
        <v>111041.81</v>
      </c>
      <c r="T25" s="18">
        <f>'Formato 5'!F31</f>
        <v>-1082421.19</v>
      </c>
      <c r="U25" s="18">
        <f>'Formato 5'!G31</f>
        <v>-282421.18999999994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-617600</v>
      </c>
      <c r="Q27" s="18">
        <f>'Formato 5'!C33</f>
        <v>589306.23</v>
      </c>
      <c r="R27" s="18">
        <f>'Formato 5'!D33</f>
        <v>-28293.77</v>
      </c>
      <c r="S27" s="18">
        <f>'Formato 5'!E33</f>
        <v>3988.34</v>
      </c>
      <c r="T27" s="18">
        <f>'Formato 5'!F33</f>
        <v>-32282.11</v>
      </c>
      <c r="U27" s="18">
        <f>'Formato 5'!G33</f>
        <v>585317.89</v>
      </c>
    </row>
    <row r="28" spans="1:21" ht="14.25" x14ac:dyDescent="0.4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ht="14.25" x14ac:dyDescent="0.4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-14275974</v>
      </c>
      <c r="Q29" s="18">
        <f>'Formato 5'!C35</f>
        <v>-45855729.609999999</v>
      </c>
      <c r="R29" s="18">
        <f>'Formato 5'!D35</f>
        <v>-60131703.609999999</v>
      </c>
      <c r="S29" s="18">
        <f>'Formato 5'!E35</f>
        <v>9251.0499999999993</v>
      </c>
      <c r="T29" s="18">
        <f>'Formato 5'!F35</f>
        <v>-40424594.68999999</v>
      </c>
      <c r="U29" s="18">
        <f>'Formato 5'!G35</f>
        <v>-26148620.68999999</v>
      </c>
    </row>
    <row r="30" spans="1:21" ht="14.25" x14ac:dyDescent="0.4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-14275974</v>
      </c>
      <c r="Q30" s="18">
        <f>'Formato 5'!C36</f>
        <v>-45855729.609999999</v>
      </c>
      <c r="R30" s="18">
        <f>'Formato 5'!D36</f>
        <v>-60131703.609999999</v>
      </c>
      <c r="S30" s="18">
        <f>'Formato 5'!E36</f>
        <v>9251.0499999999993</v>
      </c>
      <c r="T30" s="18">
        <f>'Formato 5'!F36</f>
        <v>-40424594.68999999</v>
      </c>
      <c r="U30" s="18">
        <f>'Formato 5'!G36</f>
        <v>-26148620.68999999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-34541015.189999998</v>
      </c>
      <c r="Q31" s="18">
        <f>'Formato 5'!C37</f>
        <v>-14507964.549999999</v>
      </c>
      <c r="R31" s="18">
        <f>'Formato 5'!D37</f>
        <v>-49048979.740000002</v>
      </c>
      <c r="S31" s="18">
        <f>'Formato 5'!E37</f>
        <v>0</v>
      </c>
      <c r="T31" s="18">
        <f>'Formato 5'!F37</f>
        <v>-49048979.740000002</v>
      </c>
      <c r="U31" s="18">
        <f>'Formato 5'!G37</f>
        <v>-14507964.550000004</v>
      </c>
    </row>
    <row r="32" spans="1:21" ht="14.25" x14ac:dyDescent="0.4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-34541015.189999998</v>
      </c>
      <c r="Q33" s="18">
        <f>'Formato 5'!C39</f>
        <v>-14507964.549999999</v>
      </c>
      <c r="R33" s="18">
        <f>'Formato 5'!D39</f>
        <v>-49048979.740000002</v>
      </c>
      <c r="S33" s="18">
        <f>'Formato 5'!E39</f>
        <v>0</v>
      </c>
      <c r="T33" s="18">
        <f>'Formato 5'!F39</f>
        <v>-49048979.740000002</v>
      </c>
      <c r="U33" s="18">
        <f>'Formato 5'!G39</f>
        <v>-14507964.550000004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-205844470.19</v>
      </c>
      <c r="Q34">
        <f>'Formato 5'!C41</f>
        <v>-53374170.009999998</v>
      </c>
      <c r="R34">
        <f>'Formato 5'!D41</f>
        <v>-259218640.19999999</v>
      </c>
      <c r="S34">
        <f>'Formato 5'!E41</f>
        <v>8789551.9800000004</v>
      </c>
      <c r="T34">
        <f>'Formato 5'!F41</f>
        <v>-255590467.49000001</v>
      </c>
      <c r="U34">
        <f>'Formato 5'!G41</f>
        <v>103838824.75999996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103838824.75999996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-212128952</v>
      </c>
      <c r="Q37">
        <f>'Formato 5'!C45</f>
        <v>0</v>
      </c>
      <c r="R37">
        <f>'Formato 5'!D45</f>
        <v>-216757813.09</v>
      </c>
      <c r="S37">
        <f>'Formato 5'!E45</f>
        <v>0</v>
      </c>
      <c r="T37">
        <f>'Formato 5'!F45</f>
        <v>-216448737.74000001</v>
      </c>
      <c r="U37">
        <f>'Formato 5'!G45</f>
        <v>-4319785.7400000039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-127641903</v>
      </c>
      <c r="Q40">
        <f>'Formato 5'!C48</f>
        <v>0</v>
      </c>
      <c r="R40">
        <f>'Formato 5'!D48</f>
        <v>-130055578.14</v>
      </c>
      <c r="S40">
        <f>'Formato 5'!E48</f>
        <v>0</v>
      </c>
      <c r="T40">
        <f>'Formato 5'!F48</f>
        <v>-130055578.14</v>
      </c>
      <c r="U40">
        <f>'Formato 5'!G48</f>
        <v>-2413675.1400000006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-76545833</v>
      </c>
      <c r="Q41">
        <f>'Formato 5'!C49</f>
        <v>0</v>
      </c>
      <c r="R41">
        <f>'Formato 5'!D49</f>
        <v>-78746930.950000003</v>
      </c>
      <c r="S41">
        <f>'Formato 5'!E49</f>
        <v>0</v>
      </c>
      <c r="T41">
        <f>'Formato 5'!F49</f>
        <v>-78746930.950000003</v>
      </c>
      <c r="U41">
        <f>'Formato 5'!G49</f>
        <v>-2201097.950000003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-7941216</v>
      </c>
      <c r="Q44">
        <f>'Formato 5'!C52</f>
        <v>0</v>
      </c>
      <c r="R44">
        <f>'Formato 5'!D52</f>
        <v>-7955304</v>
      </c>
      <c r="S44">
        <f>'Formato 5'!E52</f>
        <v>0</v>
      </c>
      <c r="T44">
        <f>'Formato 5'!F52</f>
        <v>-7646228.6500000004</v>
      </c>
      <c r="U44">
        <f>'Formato 5'!G52</f>
        <v>294987.34999999963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-19547514</v>
      </c>
      <c r="Q46">
        <f>'Formato 5'!C54</f>
        <v>0</v>
      </c>
      <c r="R46">
        <f>'Formato 5'!D54</f>
        <v>-38292061.960000008</v>
      </c>
      <c r="S46">
        <f>'Formato 5'!E54</f>
        <v>0</v>
      </c>
      <c r="T46">
        <f>'Formato 5'!F54</f>
        <v>-22701336.030000001</v>
      </c>
      <c r="U46">
        <f>'Formato 5'!G54</f>
        <v>-3153822.0300000012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-19547514</v>
      </c>
      <c r="Q50">
        <f>'Formato 5'!C58</f>
        <v>0</v>
      </c>
      <c r="R50">
        <f>'Formato 5'!D58</f>
        <v>-38292061.960000008</v>
      </c>
      <c r="S50">
        <f>'Formato 5'!E58</f>
        <v>0</v>
      </c>
      <c r="T50">
        <f>'Formato 5'!F58</f>
        <v>-22701336.030000001</v>
      </c>
      <c r="U50">
        <f>'Formato 5'!G58</f>
        <v>-3153822.0300000012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-231676466</v>
      </c>
      <c r="Q56">
        <f>'Formato 5'!C65</f>
        <v>0</v>
      </c>
      <c r="R56">
        <f>'Formato 5'!D65</f>
        <v>-255049875.05000001</v>
      </c>
      <c r="S56">
        <f>'Formato 5'!E65</f>
        <v>0</v>
      </c>
      <c r="T56">
        <f>'Formato 5'!F65</f>
        <v>-239150073.77000001</v>
      </c>
      <c r="U56">
        <f>'Formato 5'!G65</f>
        <v>-7473607.7700000051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-26778800</v>
      </c>
      <c r="Q57">
        <f>'Formato 5'!C67</f>
        <v>0</v>
      </c>
      <c r="R57">
        <f>'Formato 5'!D67</f>
        <v>-42865414.109999999</v>
      </c>
      <c r="S57">
        <f>'Formato 5'!E67</f>
        <v>0</v>
      </c>
      <c r="T57">
        <f>'Formato 5'!F67</f>
        <v>-42865414.109999999</v>
      </c>
      <c r="U57">
        <f>'Formato 5'!G67</f>
        <v>-16086614.109999999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-26778800</v>
      </c>
      <c r="Q58">
        <f>'Formato 5'!C68</f>
        <v>0</v>
      </c>
      <c r="R58">
        <f>'Formato 5'!D68</f>
        <v>-42865414.109999999</v>
      </c>
      <c r="S58">
        <f>'Formato 5'!E68</f>
        <v>0</v>
      </c>
      <c r="T58">
        <f>'Formato 5'!F68</f>
        <v>-42865414.109999999</v>
      </c>
      <c r="U58">
        <f>'Formato 5'!G68</f>
        <v>-16086614.109999999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-34541015.189999998</v>
      </c>
      <c r="Q60">
        <f>'Formato 5'!C73</f>
        <v>-14507964.549999999</v>
      </c>
      <c r="R60">
        <f>'Formato 5'!D73</f>
        <v>-49048979.740000002</v>
      </c>
      <c r="S60">
        <f>'Formato 5'!E73</f>
        <v>0</v>
      </c>
      <c r="T60">
        <f>'Formato 5'!F73</f>
        <v>-49048979.740000002</v>
      </c>
      <c r="U60">
        <f>'Formato 5'!G73</f>
        <v>-14507964.550000004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-26778800</v>
      </c>
      <c r="Q61">
        <f>'Formato 5'!C74</f>
        <v>0</v>
      </c>
      <c r="R61">
        <f>'Formato 5'!D74</f>
        <v>-42865414.109999999</v>
      </c>
      <c r="S61">
        <f>'Formato 5'!E74</f>
        <v>0</v>
      </c>
      <c r="T61">
        <f>'Formato 5'!F74</f>
        <v>-42865414.109999999</v>
      </c>
      <c r="U61">
        <f>'Formato 5'!G74</f>
        <v>-16086614.109999999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-61319815.189999998</v>
      </c>
      <c r="Q62">
        <f>'Formato 5'!C75</f>
        <v>-14507964.549999999</v>
      </c>
      <c r="R62">
        <f>'Formato 5'!D75</f>
        <v>-91914393.849999994</v>
      </c>
      <c r="S62">
        <f>'Formato 5'!E75</f>
        <v>0</v>
      </c>
      <c r="T62">
        <f>'Formato 5'!F75</f>
        <v>-91914393.849999994</v>
      </c>
      <c r="U62">
        <f>'Formato 5'!G75</f>
        <v>-30594578.660000004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view="pageBreakPreview" topLeftCell="A103" zoomScale="55" zoomScaleNormal="70" zoomScaleSheetLayoutView="55" zoomScalePageLayoutView="90" workbookViewId="0">
      <selection activeCell="A5" sqref="A5:G5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MUNICIPIO DE SAN FELIPE,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205844470.19000003</v>
      </c>
      <c r="C9" s="79">
        <f t="shared" ref="C9:G9" si="0">SUM(C10,C18,C28,C38,C48,C58,C62,C71,C75)</f>
        <v>53374170.00999999</v>
      </c>
      <c r="D9" s="79">
        <f t="shared" si="0"/>
        <v>259218640.19999999</v>
      </c>
      <c r="E9" s="79">
        <f t="shared" si="0"/>
        <v>3009429.0999999996</v>
      </c>
      <c r="F9" s="79">
        <f t="shared" si="0"/>
        <v>196988043.04000002</v>
      </c>
      <c r="G9" s="79">
        <f t="shared" si="0"/>
        <v>256209211.10000002</v>
      </c>
    </row>
    <row r="10" spans="1:7" ht="14.25" x14ac:dyDescent="0.45">
      <c r="A10" s="83" t="s">
        <v>286</v>
      </c>
      <c r="B10" s="80">
        <f>SUM(B11:B17)</f>
        <v>76453028.930000007</v>
      </c>
      <c r="C10" s="80">
        <f t="shared" ref="C10:F10" si="1">SUM(C11:C17)</f>
        <v>0</v>
      </c>
      <c r="D10" s="80">
        <f t="shared" si="1"/>
        <v>76453028.929999992</v>
      </c>
      <c r="E10" s="80">
        <f t="shared" si="1"/>
        <v>1602469.38</v>
      </c>
      <c r="F10" s="80">
        <f t="shared" si="1"/>
        <v>70722771.349999994</v>
      </c>
      <c r="G10" s="80">
        <f>SUM(G11:G17)</f>
        <v>74850559.549999997</v>
      </c>
    </row>
    <row r="11" spans="1:7" x14ac:dyDescent="0.25">
      <c r="A11" s="84" t="s">
        <v>287</v>
      </c>
      <c r="B11" s="80">
        <v>47128776.960000001</v>
      </c>
      <c r="C11" s="80">
        <v>-498857.91000000003</v>
      </c>
      <c r="D11" s="80">
        <v>46629919.049999997</v>
      </c>
      <c r="E11" s="80">
        <v>0</v>
      </c>
      <c r="F11" s="80">
        <v>45368625.68</v>
      </c>
      <c r="G11" s="80">
        <f>D11-E11</f>
        <v>46629919.049999997</v>
      </c>
    </row>
    <row r="12" spans="1:7" x14ac:dyDescent="0.25">
      <c r="A12" s="84" t="s">
        <v>288</v>
      </c>
      <c r="B12" s="80"/>
      <c r="C12" s="80"/>
      <c r="D12" s="80"/>
      <c r="E12" s="80"/>
      <c r="F12" s="80"/>
      <c r="G12" s="80">
        <f>D12-E12</f>
        <v>0</v>
      </c>
    </row>
    <row r="13" spans="1:7" x14ac:dyDescent="0.25">
      <c r="A13" s="84" t="s">
        <v>289</v>
      </c>
      <c r="B13" s="80">
        <v>7031194.6299999999</v>
      </c>
      <c r="C13" s="80">
        <v>6654.7899999999936</v>
      </c>
      <c r="D13" s="80">
        <v>7037849.4199999999</v>
      </c>
      <c r="E13" s="80">
        <v>0</v>
      </c>
      <c r="F13" s="80">
        <v>6667960.7800000003</v>
      </c>
      <c r="G13" s="80">
        <f t="shared" ref="G13:G17" si="2">D13-E13</f>
        <v>7037849.4199999999</v>
      </c>
    </row>
    <row r="14" spans="1:7" x14ac:dyDescent="0.25">
      <c r="A14" s="84" t="s">
        <v>290</v>
      </c>
      <c r="B14" s="80">
        <v>13982573.869999999</v>
      </c>
      <c r="C14" s="80">
        <v>12985.45</v>
      </c>
      <c r="D14" s="80">
        <v>13995559.32</v>
      </c>
      <c r="E14" s="80">
        <v>1602469.38</v>
      </c>
      <c r="F14" s="80">
        <v>10482156.210000001</v>
      </c>
      <c r="G14" s="80">
        <f t="shared" si="2"/>
        <v>12393089.940000001</v>
      </c>
    </row>
    <row r="15" spans="1:7" x14ac:dyDescent="0.25">
      <c r="A15" s="84" t="s">
        <v>291</v>
      </c>
      <c r="B15" s="80">
        <v>8310483.4699999997</v>
      </c>
      <c r="C15" s="80">
        <v>479217.67000000004</v>
      </c>
      <c r="D15" s="80">
        <v>8789701.1400000006</v>
      </c>
      <c r="E15" s="80">
        <v>0</v>
      </c>
      <c r="F15" s="80">
        <v>8204028.6799999997</v>
      </c>
      <c r="G15" s="80">
        <f t="shared" si="2"/>
        <v>8789701.1400000006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17146820.080000002</v>
      </c>
      <c r="C18" s="80">
        <f t="shared" ref="C18:F18" si="3">SUM(C19:C27)</f>
        <v>2054668.12</v>
      </c>
      <c r="D18" s="80">
        <f t="shared" si="3"/>
        <v>19201488.199999999</v>
      </c>
      <c r="E18" s="80">
        <f t="shared" si="3"/>
        <v>382269.66999999993</v>
      </c>
      <c r="F18" s="80">
        <f t="shared" si="3"/>
        <v>15763988.379999999</v>
      </c>
      <c r="G18" s="80">
        <f>SUM(G19:G27)</f>
        <v>18819218.530000001</v>
      </c>
    </row>
    <row r="19" spans="1:7" x14ac:dyDescent="0.25">
      <c r="A19" s="84" t="s">
        <v>295</v>
      </c>
      <c r="B19" s="80">
        <v>2522548.2000000002</v>
      </c>
      <c r="C19" s="80">
        <v>-387341.94999999995</v>
      </c>
      <c r="D19" s="80">
        <v>2135206.25</v>
      </c>
      <c r="E19" s="80">
        <v>55942.559999999998</v>
      </c>
      <c r="F19" s="80">
        <v>1615424.1</v>
      </c>
      <c r="G19" s="80">
        <f>D19-E19</f>
        <v>2079263.69</v>
      </c>
    </row>
    <row r="20" spans="1:7" x14ac:dyDescent="0.25">
      <c r="A20" s="84" t="s">
        <v>296</v>
      </c>
      <c r="B20" s="80">
        <v>404738.69</v>
      </c>
      <c r="C20" s="80">
        <v>-51302.469999999987</v>
      </c>
      <c r="D20" s="80">
        <v>353436.22</v>
      </c>
      <c r="E20" s="80">
        <v>1010</v>
      </c>
      <c r="F20" s="80">
        <v>227712.64000000001</v>
      </c>
      <c r="G20" s="80">
        <f t="shared" ref="G20:G27" si="4">D20-E20</f>
        <v>352426.22</v>
      </c>
    </row>
    <row r="21" spans="1:7" x14ac:dyDescent="0.25">
      <c r="A21" s="84" t="s">
        <v>297</v>
      </c>
      <c r="B21" s="80">
        <v>20000</v>
      </c>
      <c r="C21" s="80">
        <v>2000</v>
      </c>
      <c r="D21" s="80">
        <v>22000</v>
      </c>
      <c r="E21" s="80">
        <v>0</v>
      </c>
      <c r="F21" s="80">
        <v>0</v>
      </c>
      <c r="G21" s="80">
        <f t="shared" si="4"/>
        <v>22000</v>
      </c>
    </row>
    <row r="22" spans="1:7" x14ac:dyDescent="0.25">
      <c r="A22" s="84" t="s">
        <v>298</v>
      </c>
      <c r="B22" s="80">
        <v>2313035.79</v>
      </c>
      <c r="C22" s="80">
        <v>1962813.31</v>
      </c>
      <c r="D22" s="80">
        <v>4275849.0999999996</v>
      </c>
      <c r="E22" s="80">
        <v>196245.31</v>
      </c>
      <c r="F22" s="80">
        <v>3698796.16</v>
      </c>
      <c r="G22" s="80">
        <f t="shared" si="4"/>
        <v>4079603.7899999996</v>
      </c>
    </row>
    <row r="23" spans="1:7" x14ac:dyDescent="0.25">
      <c r="A23" s="84" t="s">
        <v>299</v>
      </c>
      <c r="B23" s="80">
        <v>72933.75</v>
      </c>
      <c r="C23" s="80">
        <v>401234.03</v>
      </c>
      <c r="D23" s="80">
        <v>474167.78</v>
      </c>
      <c r="E23" s="80">
        <v>6414.8</v>
      </c>
      <c r="F23" s="80">
        <v>128093.8</v>
      </c>
      <c r="G23" s="80">
        <f t="shared" si="4"/>
        <v>467752.98000000004</v>
      </c>
    </row>
    <row r="24" spans="1:7" x14ac:dyDescent="0.25">
      <c r="A24" s="84" t="s">
        <v>300</v>
      </c>
      <c r="B24" s="80">
        <v>8711987.1400000006</v>
      </c>
      <c r="C24" s="80">
        <v>-188256.12000000011</v>
      </c>
      <c r="D24" s="80">
        <v>8523731.0199999996</v>
      </c>
      <c r="E24" s="80">
        <v>28281.42</v>
      </c>
      <c r="F24" s="80">
        <v>7300559.9800000004</v>
      </c>
      <c r="G24" s="80">
        <f t="shared" si="4"/>
        <v>8495449.5999999996</v>
      </c>
    </row>
    <row r="25" spans="1:7" x14ac:dyDescent="0.25">
      <c r="A25" s="84" t="s">
        <v>301</v>
      </c>
      <c r="B25" s="80">
        <v>600545.39</v>
      </c>
      <c r="C25" s="80">
        <v>91550.010000000009</v>
      </c>
      <c r="D25" s="80">
        <v>692095.4</v>
      </c>
      <c r="E25" s="80">
        <v>65247.6</v>
      </c>
      <c r="F25" s="80">
        <v>520376.59</v>
      </c>
      <c r="G25" s="80">
        <f t="shared" si="4"/>
        <v>626847.80000000005</v>
      </c>
    </row>
    <row r="26" spans="1:7" x14ac:dyDescent="0.25">
      <c r="A26" s="84" t="s">
        <v>302</v>
      </c>
      <c r="B26" s="80">
        <v>0</v>
      </c>
      <c r="C26" s="80">
        <v>2000</v>
      </c>
      <c r="D26" s="80">
        <v>2000</v>
      </c>
      <c r="E26" s="80">
        <v>0</v>
      </c>
      <c r="F26" s="80">
        <v>0</v>
      </c>
      <c r="G26" s="80">
        <f t="shared" si="4"/>
        <v>2000</v>
      </c>
    </row>
    <row r="27" spans="1:7" x14ac:dyDescent="0.25">
      <c r="A27" s="84" t="s">
        <v>303</v>
      </c>
      <c r="B27" s="80">
        <v>2501031.12</v>
      </c>
      <c r="C27" s="80">
        <v>221971.31</v>
      </c>
      <c r="D27" s="80">
        <v>2723002.43</v>
      </c>
      <c r="E27" s="80">
        <v>29127.98</v>
      </c>
      <c r="F27" s="80">
        <v>2273025.11</v>
      </c>
      <c r="G27" s="80">
        <f t="shared" si="4"/>
        <v>2693874.45</v>
      </c>
    </row>
    <row r="28" spans="1:7" x14ac:dyDescent="0.25">
      <c r="A28" s="83" t="s">
        <v>304</v>
      </c>
      <c r="B28" s="80">
        <f>SUM(B29:B37)</f>
        <v>29567887.440000005</v>
      </c>
      <c r="C28" s="80">
        <f t="shared" ref="C28:G28" si="5">SUM(C29:C37)</f>
        <v>-4089857.0900000008</v>
      </c>
      <c r="D28" s="80">
        <f t="shared" si="5"/>
        <v>25478030.350000001</v>
      </c>
      <c r="E28" s="80">
        <f t="shared" si="5"/>
        <v>761254.94000000006</v>
      </c>
      <c r="F28" s="80">
        <f t="shared" si="5"/>
        <v>17113430.699999999</v>
      </c>
      <c r="G28" s="80">
        <f t="shared" si="5"/>
        <v>24716775.41</v>
      </c>
    </row>
    <row r="29" spans="1:7" x14ac:dyDescent="0.25">
      <c r="A29" s="84" t="s">
        <v>305</v>
      </c>
      <c r="B29" s="80">
        <v>2717145</v>
      </c>
      <c r="C29" s="80">
        <v>-31833.300000000003</v>
      </c>
      <c r="D29" s="80">
        <v>2685311.7</v>
      </c>
      <c r="E29" s="80">
        <v>78513</v>
      </c>
      <c r="F29" s="80">
        <v>2071561.32</v>
      </c>
      <c r="G29" s="80">
        <f>D29-E29</f>
        <v>2606798.7000000002</v>
      </c>
    </row>
    <row r="30" spans="1:7" x14ac:dyDescent="0.25">
      <c r="A30" s="84" t="s">
        <v>306</v>
      </c>
      <c r="B30" s="80">
        <v>2043830.53</v>
      </c>
      <c r="C30" s="80">
        <v>-202408.72999999998</v>
      </c>
      <c r="D30" s="80">
        <v>1841421.8</v>
      </c>
      <c r="E30" s="80">
        <v>233793.41</v>
      </c>
      <c r="F30" s="80">
        <v>1144476.72</v>
      </c>
      <c r="G30" s="80">
        <f t="shared" ref="G30:G37" si="6">D30-E30</f>
        <v>1607628.3900000001</v>
      </c>
    </row>
    <row r="31" spans="1:7" x14ac:dyDescent="0.25">
      <c r="A31" s="84" t="s">
        <v>307</v>
      </c>
      <c r="B31" s="80">
        <v>5815365.5</v>
      </c>
      <c r="C31" s="80">
        <v>1872789.8999999994</v>
      </c>
      <c r="D31" s="80">
        <v>7688155.4000000004</v>
      </c>
      <c r="E31" s="80">
        <v>186000</v>
      </c>
      <c r="F31" s="80">
        <v>5025651.76</v>
      </c>
      <c r="G31" s="80">
        <f t="shared" si="6"/>
        <v>7502155.4000000004</v>
      </c>
    </row>
    <row r="32" spans="1:7" x14ac:dyDescent="0.25">
      <c r="A32" s="84" t="s">
        <v>308</v>
      </c>
      <c r="B32" s="80">
        <v>2896000</v>
      </c>
      <c r="C32" s="80">
        <v>-579119.41</v>
      </c>
      <c r="D32" s="80">
        <v>2316880.59</v>
      </c>
      <c r="E32" s="80">
        <v>0</v>
      </c>
      <c r="F32" s="80">
        <v>2130899.4500000002</v>
      </c>
      <c r="G32" s="80">
        <f t="shared" si="6"/>
        <v>2316880.59</v>
      </c>
    </row>
    <row r="33" spans="1:7" x14ac:dyDescent="0.25">
      <c r="A33" s="84" t="s">
        <v>309</v>
      </c>
      <c r="B33" s="80">
        <v>1595570.69</v>
      </c>
      <c r="C33" s="80">
        <v>58349.390000000014</v>
      </c>
      <c r="D33" s="80">
        <v>1653920.08</v>
      </c>
      <c r="E33" s="80">
        <v>0</v>
      </c>
      <c r="F33" s="80">
        <v>1164416.54</v>
      </c>
      <c r="G33" s="80">
        <f t="shared" si="6"/>
        <v>1653920.08</v>
      </c>
    </row>
    <row r="34" spans="1:7" x14ac:dyDescent="0.25">
      <c r="A34" s="84" t="s">
        <v>310</v>
      </c>
      <c r="B34" s="80">
        <v>840285.69</v>
      </c>
      <c r="C34" s="80">
        <v>32784.380000000005</v>
      </c>
      <c r="D34" s="80">
        <v>873070.07</v>
      </c>
      <c r="E34" s="80">
        <v>47612.78</v>
      </c>
      <c r="F34" s="80">
        <v>491631.3</v>
      </c>
      <c r="G34" s="80">
        <f t="shared" si="6"/>
        <v>825457.28999999992</v>
      </c>
    </row>
    <row r="35" spans="1:7" x14ac:dyDescent="0.25">
      <c r="A35" s="84" t="s">
        <v>311</v>
      </c>
      <c r="B35" s="80">
        <v>222336.63</v>
      </c>
      <c r="C35" s="80">
        <v>-55954.46</v>
      </c>
      <c r="D35" s="80">
        <v>166382.17000000001</v>
      </c>
      <c r="E35" s="80">
        <v>0</v>
      </c>
      <c r="F35" s="80">
        <v>22455.26</v>
      </c>
      <c r="G35" s="80">
        <f t="shared" si="6"/>
        <v>166382.17000000001</v>
      </c>
    </row>
    <row r="36" spans="1:7" x14ac:dyDescent="0.25">
      <c r="A36" s="84" t="s">
        <v>312</v>
      </c>
      <c r="B36" s="80">
        <v>6573718.7300000004</v>
      </c>
      <c r="C36" s="80">
        <v>-5398044.6200000001</v>
      </c>
      <c r="D36" s="80">
        <v>1175674.1100000001</v>
      </c>
      <c r="E36" s="80">
        <v>0</v>
      </c>
      <c r="F36" s="80">
        <v>910772.97</v>
      </c>
      <c r="G36" s="80">
        <f t="shared" si="6"/>
        <v>1175674.1100000001</v>
      </c>
    </row>
    <row r="37" spans="1:7" x14ac:dyDescent="0.25">
      <c r="A37" s="84" t="s">
        <v>313</v>
      </c>
      <c r="B37" s="80">
        <v>6863634.6699999999</v>
      </c>
      <c r="C37" s="80">
        <v>213579.75999999978</v>
      </c>
      <c r="D37" s="80">
        <v>7077214.4299999997</v>
      </c>
      <c r="E37" s="80">
        <v>215335.75</v>
      </c>
      <c r="F37" s="80">
        <v>4151565.38</v>
      </c>
      <c r="G37" s="80">
        <f t="shared" si="6"/>
        <v>6861878.6799999997</v>
      </c>
    </row>
    <row r="38" spans="1:7" x14ac:dyDescent="0.25">
      <c r="A38" s="83" t="s">
        <v>314</v>
      </c>
      <c r="B38" s="80">
        <f>SUM(B39:B47)</f>
        <v>29082362.68</v>
      </c>
      <c r="C38" s="80">
        <f t="shared" ref="C38:G38" si="7">SUM(C39:C47)</f>
        <v>636957.63000000152</v>
      </c>
      <c r="D38" s="80">
        <f t="shared" si="7"/>
        <v>29719320.310000002</v>
      </c>
      <c r="E38" s="80">
        <f t="shared" si="7"/>
        <v>20000</v>
      </c>
      <c r="F38" s="80">
        <f t="shared" si="7"/>
        <v>25428780.200000003</v>
      </c>
      <c r="G38" s="80">
        <f t="shared" si="7"/>
        <v>29699320.310000002</v>
      </c>
    </row>
    <row r="39" spans="1:7" x14ac:dyDescent="0.25">
      <c r="A39" s="84" t="s">
        <v>315</v>
      </c>
      <c r="B39" s="80">
        <v>4300000</v>
      </c>
      <c r="C39" s="80">
        <v>-309987</v>
      </c>
      <c r="D39" s="80">
        <v>3990013</v>
      </c>
      <c r="E39" s="80">
        <v>0</v>
      </c>
      <c r="F39" s="80">
        <v>3990012.72</v>
      </c>
      <c r="G39" s="80">
        <f>D39-E39</f>
        <v>3990013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8">D40-E40</f>
        <v>0</v>
      </c>
    </row>
    <row r="41" spans="1:7" x14ac:dyDescent="0.25">
      <c r="A41" s="84" t="s">
        <v>317</v>
      </c>
      <c r="B41" s="80">
        <v>10565668.42</v>
      </c>
      <c r="C41" s="80">
        <v>-19505.64999999851</v>
      </c>
      <c r="D41" s="80">
        <v>10546162.77</v>
      </c>
      <c r="E41" s="80">
        <v>0</v>
      </c>
      <c r="F41" s="80">
        <v>8056478.9500000002</v>
      </c>
      <c r="G41" s="80">
        <f t="shared" si="8"/>
        <v>10546162.77</v>
      </c>
    </row>
    <row r="42" spans="1:7" x14ac:dyDescent="0.25">
      <c r="A42" s="84" t="s">
        <v>318</v>
      </c>
      <c r="B42" s="80">
        <v>4462100</v>
      </c>
      <c r="C42" s="80">
        <v>1297333.08</v>
      </c>
      <c r="D42" s="80">
        <v>5759433.0800000001</v>
      </c>
      <c r="E42" s="80">
        <v>20000</v>
      </c>
      <c r="F42" s="80">
        <v>5663273.1299999999</v>
      </c>
      <c r="G42" s="80">
        <f t="shared" si="8"/>
        <v>5739433.0800000001</v>
      </c>
    </row>
    <row r="43" spans="1:7" x14ac:dyDescent="0.25">
      <c r="A43" s="84" t="s">
        <v>319</v>
      </c>
      <c r="B43" s="80">
        <v>9154594.2599999998</v>
      </c>
      <c r="C43" s="80">
        <v>-262882.8</v>
      </c>
      <c r="D43" s="80">
        <v>8891711.4600000009</v>
      </c>
      <c r="E43" s="80">
        <v>0</v>
      </c>
      <c r="F43" s="80">
        <v>7227015.4000000004</v>
      </c>
      <c r="G43" s="80">
        <f t="shared" si="8"/>
        <v>8891711.4600000009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600000</v>
      </c>
      <c r="C46" s="80">
        <v>-68000</v>
      </c>
      <c r="D46" s="80">
        <v>532000</v>
      </c>
      <c r="E46" s="80">
        <v>0</v>
      </c>
      <c r="F46" s="80">
        <v>492000</v>
      </c>
      <c r="G46" s="80">
        <f t="shared" si="8"/>
        <v>532000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3530597.16</v>
      </c>
      <c r="C48" s="80">
        <f t="shared" ref="C48:G48" si="9">SUM(C49:C57)</f>
        <v>-2418088.2199999997</v>
      </c>
      <c r="D48" s="80">
        <f t="shared" si="9"/>
        <v>1112508.94</v>
      </c>
      <c r="E48" s="80">
        <f t="shared" si="9"/>
        <v>4400</v>
      </c>
      <c r="F48" s="80">
        <f t="shared" si="9"/>
        <v>924396.18</v>
      </c>
      <c r="G48" s="80">
        <f t="shared" si="9"/>
        <v>1108108.94</v>
      </c>
    </row>
    <row r="49" spans="1:7" x14ac:dyDescent="0.25">
      <c r="A49" s="84" t="s">
        <v>325</v>
      </c>
      <c r="B49" s="80">
        <v>719696.49</v>
      </c>
      <c r="C49" s="80">
        <v>173622.45999999996</v>
      </c>
      <c r="D49" s="80">
        <v>893318.95</v>
      </c>
      <c r="E49" s="80">
        <v>0</v>
      </c>
      <c r="F49" s="80">
        <v>780652.65</v>
      </c>
      <c r="G49" s="80">
        <f>D49-E49</f>
        <v>893318.95</v>
      </c>
    </row>
    <row r="50" spans="1:7" x14ac:dyDescent="0.25">
      <c r="A50" s="84" t="s">
        <v>326</v>
      </c>
      <c r="B50" s="80">
        <v>191000</v>
      </c>
      <c r="C50" s="80">
        <v>-180400</v>
      </c>
      <c r="D50" s="80">
        <v>10600</v>
      </c>
      <c r="E50" s="80">
        <v>0</v>
      </c>
      <c r="F50" s="80">
        <v>5550.02</v>
      </c>
      <c r="G50" s="80">
        <f t="shared" ref="G50:G57" si="10">D50-E50</f>
        <v>10600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2009000</v>
      </c>
      <c r="C52" s="80">
        <v>-2009000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414000</v>
      </c>
      <c r="C54" s="80">
        <v>-244410.01</v>
      </c>
      <c r="D54" s="80">
        <v>169589.99</v>
      </c>
      <c r="E54" s="80">
        <v>4400</v>
      </c>
      <c r="F54" s="80">
        <v>111049.51</v>
      </c>
      <c r="G54" s="80">
        <f t="shared" si="10"/>
        <v>165189.99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10"/>
        <v>0</v>
      </c>
    </row>
    <row r="57" spans="1:7" x14ac:dyDescent="0.25">
      <c r="A57" s="84" t="s">
        <v>333</v>
      </c>
      <c r="B57" s="80">
        <v>196900.67</v>
      </c>
      <c r="C57" s="80">
        <v>-157900.67000000001</v>
      </c>
      <c r="D57" s="80">
        <v>39000</v>
      </c>
      <c r="E57" s="80">
        <v>0</v>
      </c>
      <c r="F57" s="80">
        <v>27144</v>
      </c>
      <c r="G57" s="80">
        <f t="shared" si="10"/>
        <v>39000</v>
      </c>
    </row>
    <row r="58" spans="1:7" x14ac:dyDescent="0.25">
      <c r="A58" s="83" t="s">
        <v>334</v>
      </c>
      <c r="B58" s="80">
        <f>SUM(B59:B61)</f>
        <v>31690660.719999999</v>
      </c>
      <c r="C58" s="80">
        <f t="shared" ref="C58:G58" si="11">SUM(C59:C61)</f>
        <v>68351185.00999999</v>
      </c>
      <c r="D58" s="80">
        <f t="shared" si="11"/>
        <v>100041845.73</v>
      </c>
      <c r="E58" s="80">
        <f t="shared" si="11"/>
        <v>239035.11</v>
      </c>
      <c r="F58" s="80">
        <f t="shared" si="11"/>
        <v>66226098.43</v>
      </c>
      <c r="G58" s="80">
        <f t="shared" si="11"/>
        <v>99802810.620000005</v>
      </c>
    </row>
    <row r="59" spans="1:7" x14ac:dyDescent="0.25">
      <c r="A59" s="84" t="s">
        <v>335</v>
      </c>
      <c r="B59" s="80">
        <v>31690660.719999999</v>
      </c>
      <c r="C59" s="80">
        <v>68351185.00999999</v>
      </c>
      <c r="D59" s="80">
        <v>100041845.73</v>
      </c>
      <c r="E59" s="80">
        <v>239035.11</v>
      </c>
      <c r="F59" s="80">
        <v>66226098.43</v>
      </c>
      <c r="G59" s="80">
        <f>D59-E59</f>
        <v>99802810.620000005</v>
      </c>
    </row>
    <row r="60" spans="1:7" x14ac:dyDescent="0.25">
      <c r="A60" s="84" t="s">
        <v>336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G60" s="80">
        <f t="shared" ref="G60:G61" si="12">D60-E60</f>
        <v>0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18120815</v>
      </c>
      <c r="C62" s="80">
        <f t="shared" ref="C62:G62" si="13">SUM(C63:C67,C69:C70)</f>
        <v>-12793056.629999999</v>
      </c>
      <c r="D62" s="80">
        <f t="shared" si="13"/>
        <v>5327758.37</v>
      </c>
      <c r="E62" s="80">
        <f t="shared" si="13"/>
        <v>0</v>
      </c>
      <c r="F62" s="80">
        <f t="shared" si="13"/>
        <v>0</v>
      </c>
      <c r="G62" s="80">
        <f t="shared" si="13"/>
        <v>5327758.37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4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18120815</v>
      </c>
      <c r="C70" s="80">
        <v>-12793056.629999999</v>
      </c>
      <c r="D70" s="80">
        <v>5327758.37</v>
      </c>
      <c r="E70" s="80">
        <v>0</v>
      </c>
      <c r="F70" s="80">
        <v>0</v>
      </c>
      <c r="G70" s="80">
        <f t="shared" si="14"/>
        <v>5327758.37</v>
      </c>
    </row>
    <row r="71" spans="1:7" x14ac:dyDescent="0.25">
      <c r="A71" s="83" t="s">
        <v>347</v>
      </c>
      <c r="B71" s="80">
        <f>SUM(B72:B74)</f>
        <v>69000</v>
      </c>
      <c r="C71" s="80">
        <f t="shared" ref="C71:G71" si="15">SUM(C72:C74)</f>
        <v>1815659.37</v>
      </c>
      <c r="D71" s="80">
        <f t="shared" si="15"/>
        <v>1884659.37</v>
      </c>
      <c r="E71" s="80">
        <f t="shared" si="15"/>
        <v>0</v>
      </c>
      <c r="F71" s="80">
        <f t="shared" si="15"/>
        <v>808577.8</v>
      </c>
      <c r="G71" s="80">
        <f t="shared" si="15"/>
        <v>1884659.37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69000</v>
      </c>
      <c r="C74" s="80">
        <v>1815659.37</v>
      </c>
      <c r="D74" s="80">
        <v>1884659.37</v>
      </c>
      <c r="E74" s="80">
        <v>0</v>
      </c>
      <c r="F74" s="80">
        <v>808577.8</v>
      </c>
      <c r="G74" s="80">
        <f t="shared" si="16"/>
        <v>1884659.37</v>
      </c>
    </row>
    <row r="75" spans="1:7" x14ac:dyDescent="0.25">
      <c r="A75" s="83" t="s">
        <v>351</v>
      </c>
      <c r="B75" s="80">
        <f>SUM(B76:B82)</f>
        <v>183298.18</v>
      </c>
      <c r="C75" s="80">
        <f t="shared" ref="C75:G75" si="17">SUM(C76:C82)</f>
        <v>-183298.18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1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183298.18</v>
      </c>
      <c r="C82" s="80">
        <v>-183298.18</v>
      </c>
      <c r="D82" s="80">
        <v>0</v>
      </c>
      <c r="E82" s="80">
        <v>0</v>
      </c>
      <c r="F82" s="80">
        <v>0</v>
      </c>
      <c r="G82" s="80">
        <f>D82-E82</f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258455266</v>
      </c>
      <c r="C84" s="79">
        <f t="shared" ref="C84:G84" si="19">SUM(C85,C93,C103,C113,C123,C133,C137,C146,C150)</f>
        <v>39465705.640000001</v>
      </c>
      <c r="D84" s="79">
        <f t="shared" si="19"/>
        <v>297920971.64000005</v>
      </c>
      <c r="E84" s="79">
        <f t="shared" si="19"/>
        <v>255206.76</v>
      </c>
      <c r="F84" s="79">
        <f t="shared" si="19"/>
        <v>243212605.33999997</v>
      </c>
      <c r="G84" s="79">
        <f t="shared" si="19"/>
        <v>297665764.88</v>
      </c>
    </row>
    <row r="85" spans="1:7" x14ac:dyDescent="0.25">
      <c r="A85" s="83" t="s">
        <v>286</v>
      </c>
      <c r="B85" s="80">
        <f>SUM(B86:B92)</f>
        <v>42068133.600000001</v>
      </c>
      <c r="C85" s="80">
        <f t="shared" ref="C85:F85" si="20">SUM(C86:C92)</f>
        <v>649569.39000000025</v>
      </c>
      <c r="D85" s="80">
        <f t="shared" si="20"/>
        <v>42717702.989999995</v>
      </c>
      <c r="E85" s="80">
        <f t="shared" si="20"/>
        <v>0</v>
      </c>
      <c r="F85" s="80">
        <f t="shared" si="20"/>
        <v>42717702.989999995</v>
      </c>
      <c r="G85" s="80">
        <f>SUM(G86:G92)</f>
        <v>42717702.989999995</v>
      </c>
    </row>
    <row r="86" spans="1:7" x14ac:dyDescent="0.25">
      <c r="A86" s="84" t="s">
        <v>287</v>
      </c>
      <c r="B86" s="80">
        <v>21844449.120000001</v>
      </c>
      <c r="C86" s="80">
        <v>1654260.4600000002</v>
      </c>
      <c r="D86" s="80">
        <v>23498709.579999998</v>
      </c>
      <c r="E86" s="80">
        <v>0</v>
      </c>
      <c r="F86" s="80">
        <v>23498709.579999998</v>
      </c>
      <c r="G86" s="80">
        <f>D86-E86</f>
        <v>23498709.579999998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25">
      <c r="A88" s="84" t="s">
        <v>289</v>
      </c>
      <c r="B88" s="80">
        <v>3257180.12</v>
      </c>
      <c r="C88" s="80">
        <v>-94627.199999999997</v>
      </c>
      <c r="D88" s="80">
        <v>3162552.92</v>
      </c>
      <c r="E88" s="80">
        <v>0</v>
      </c>
      <c r="F88" s="80">
        <v>3162552.92</v>
      </c>
      <c r="G88" s="80">
        <f t="shared" si="21"/>
        <v>3162552.92</v>
      </c>
    </row>
    <row r="89" spans="1:7" x14ac:dyDescent="0.25">
      <c r="A89" s="84" t="s">
        <v>290</v>
      </c>
      <c r="B89" s="80">
        <v>8399054.4499999993</v>
      </c>
      <c r="C89" s="80">
        <v>-722872.48</v>
      </c>
      <c r="D89" s="80">
        <v>7676181.9699999997</v>
      </c>
      <c r="E89" s="80">
        <v>0</v>
      </c>
      <c r="F89" s="80">
        <v>7676181.9699999997</v>
      </c>
      <c r="G89" s="80">
        <f t="shared" si="21"/>
        <v>7676181.9699999997</v>
      </c>
    </row>
    <row r="90" spans="1:7" x14ac:dyDescent="0.25">
      <c r="A90" s="84" t="s">
        <v>291</v>
      </c>
      <c r="B90" s="80">
        <v>5110012.79</v>
      </c>
      <c r="C90" s="80">
        <v>-93312.75</v>
      </c>
      <c r="D90" s="80">
        <v>5016700.04</v>
      </c>
      <c r="E90" s="80">
        <v>0</v>
      </c>
      <c r="F90" s="80">
        <v>5016700.04</v>
      </c>
      <c r="G90" s="80">
        <f t="shared" si="21"/>
        <v>5016700.04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3457437.12</v>
      </c>
      <c r="C92" s="80">
        <v>-93878.64</v>
      </c>
      <c r="D92" s="80">
        <v>3363558.48</v>
      </c>
      <c r="E92" s="80">
        <v>0</v>
      </c>
      <c r="F92" s="80">
        <v>3363558.48</v>
      </c>
      <c r="G92" s="80">
        <f t="shared" si="21"/>
        <v>3363558.48</v>
      </c>
    </row>
    <row r="93" spans="1:7" x14ac:dyDescent="0.25">
      <c r="A93" s="83" t="s">
        <v>294</v>
      </c>
      <c r="B93" s="80">
        <f>SUM(B94:B102)</f>
        <v>7951882.4500000002</v>
      </c>
      <c r="C93" s="80">
        <f t="shared" ref="C93:G93" si="22">SUM(C94:C102)</f>
        <v>-33680.049999999886</v>
      </c>
      <c r="D93" s="80">
        <f t="shared" si="22"/>
        <v>7918202.3999999994</v>
      </c>
      <c r="E93" s="80">
        <f t="shared" si="22"/>
        <v>0</v>
      </c>
      <c r="F93" s="80">
        <f t="shared" si="22"/>
        <v>7887334.9400000004</v>
      </c>
      <c r="G93" s="80">
        <f t="shared" si="22"/>
        <v>7918202.3999999994</v>
      </c>
    </row>
    <row r="94" spans="1:7" x14ac:dyDescent="0.25">
      <c r="A94" s="84" t="s">
        <v>295</v>
      </c>
      <c r="B94" s="80">
        <v>272097.15000000002</v>
      </c>
      <c r="C94" s="80">
        <v>86121.22</v>
      </c>
      <c r="D94" s="80">
        <v>358218.37</v>
      </c>
      <c r="E94" s="80">
        <v>0</v>
      </c>
      <c r="F94" s="80">
        <v>358218.37</v>
      </c>
      <c r="G94" s="80">
        <f>D94-E94</f>
        <v>358218.37</v>
      </c>
    </row>
    <row r="95" spans="1:7" x14ac:dyDescent="0.25">
      <c r="A95" s="84" t="s">
        <v>296</v>
      </c>
      <c r="B95" s="80">
        <v>210958.04</v>
      </c>
      <c r="C95" s="80">
        <v>40911.35</v>
      </c>
      <c r="D95" s="80">
        <v>251869.39</v>
      </c>
      <c r="E95" s="80">
        <v>0</v>
      </c>
      <c r="F95" s="80">
        <v>251869.39</v>
      </c>
      <c r="G95" s="80">
        <f t="shared" ref="G95:G102" si="23">D95-E95</f>
        <v>251869.39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54677.1</v>
      </c>
      <c r="C97" s="80">
        <v>-20432.97</v>
      </c>
      <c r="D97" s="80">
        <v>34244.129999999997</v>
      </c>
      <c r="E97" s="80">
        <v>0</v>
      </c>
      <c r="F97" s="80">
        <v>34244.129999999997</v>
      </c>
      <c r="G97" s="80">
        <f t="shared" si="23"/>
        <v>34244.129999999997</v>
      </c>
    </row>
    <row r="98" spans="1:7" x14ac:dyDescent="0.25">
      <c r="A98" s="42" t="s">
        <v>299</v>
      </c>
      <c r="B98" s="80">
        <v>119648</v>
      </c>
      <c r="C98" s="80">
        <v>43443.31</v>
      </c>
      <c r="D98" s="80">
        <v>163091.31</v>
      </c>
      <c r="E98" s="80">
        <v>0</v>
      </c>
      <c r="F98" s="80">
        <v>163091.31</v>
      </c>
      <c r="G98" s="80">
        <f t="shared" si="23"/>
        <v>163091.31</v>
      </c>
    </row>
    <row r="99" spans="1:7" x14ac:dyDescent="0.25">
      <c r="A99" s="84" t="s">
        <v>300</v>
      </c>
      <c r="B99" s="80">
        <v>4670246.76</v>
      </c>
      <c r="C99" s="80">
        <v>-26351.599999999999</v>
      </c>
      <c r="D99" s="80">
        <v>4643895.16</v>
      </c>
      <c r="E99" s="80">
        <v>0</v>
      </c>
      <c r="F99" s="80">
        <v>4643895.16</v>
      </c>
      <c r="G99" s="80">
        <f t="shared" si="23"/>
        <v>4643895.16</v>
      </c>
    </row>
    <row r="100" spans="1:7" x14ac:dyDescent="0.25">
      <c r="A100" s="84" t="s">
        <v>301</v>
      </c>
      <c r="B100" s="80">
        <v>1459523.82</v>
      </c>
      <c r="C100" s="80">
        <v>380889.58000000007</v>
      </c>
      <c r="D100" s="80">
        <v>1840413.4</v>
      </c>
      <c r="E100" s="80">
        <v>0</v>
      </c>
      <c r="F100" s="80">
        <v>1809545.94</v>
      </c>
      <c r="G100" s="80">
        <f t="shared" si="23"/>
        <v>1840413.4</v>
      </c>
    </row>
    <row r="101" spans="1:7" x14ac:dyDescent="0.25">
      <c r="A101" s="84" t="s">
        <v>302</v>
      </c>
      <c r="B101" s="80">
        <v>623685.96</v>
      </c>
      <c r="C101" s="80">
        <v>-615485.96</v>
      </c>
      <c r="D101" s="80">
        <v>8200</v>
      </c>
      <c r="E101" s="80">
        <v>0</v>
      </c>
      <c r="F101" s="80">
        <v>8200</v>
      </c>
      <c r="G101" s="80">
        <f t="shared" si="23"/>
        <v>8200</v>
      </c>
    </row>
    <row r="102" spans="1:7" x14ac:dyDescent="0.25">
      <c r="A102" s="84" t="s">
        <v>303</v>
      </c>
      <c r="B102" s="80">
        <v>541045.62</v>
      </c>
      <c r="C102" s="80">
        <v>77225.02</v>
      </c>
      <c r="D102" s="80">
        <v>618270.64</v>
      </c>
      <c r="E102" s="80">
        <v>0</v>
      </c>
      <c r="F102" s="80">
        <v>618270.64</v>
      </c>
      <c r="G102" s="80">
        <f t="shared" si="23"/>
        <v>618270.64</v>
      </c>
    </row>
    <row r="103" spans="1:7" x14ac:dyDescent="0.25">
      <c r="A103" s="83" t="s">
        <v>304</v>
      </c>
      <c r="B103" s="80">
        <f>SUM(B104:B112)</f>
        <v>20190562.890000001</v>
      </c>
      <c r="C103" s="80">
        <f>SUM(C104:C112)</f>
        <v>-4597202.0500000007</v>
      </c>
      <c r="D103" s="80">
        <f t="shared" ref="D103:G103" si="24">SUM(D104:D112)</f>
        <v>15593360.840000004</v>
      </c>
      <c r="E103" s="80">
        <f t="shared" si="24"/>
        <v>0</v>
      </c>
      <c r="F103" s="80">
        <f t="shared" si="24"/>
        <v>14198639.040000003</v>
      </c>
      <c r="G103" s="80">
        <f t="shared" si="24"/>
        <v>15593360.840000004</v>
      </c>
    </row>
    <row r="104" spans="1:7" x14ac:dyDescent="0.25">
      <c r="A104" s="84" t="s">
        <v>305</v>
      </c>
      <c r="B104" s="80">
        <v>12945868.35</v>
      </c>
      <c r="C104" s="80">
        <v>-4284189.55</v>
      </c>
      <c r="D104" s="80">
        <v>8661678.8000000007</v>
      </c>
      <c r="E104" s="80">
        <v>0</v>
      </c>
      <c r="F104" s="80">
        <v>8661678.8000000007</v>
      </c>
      <c r="G104" s="80">
        <f>D104-E104</f>
        <v>8661678.8000000007</v>
      </c>
    </row>
    <row r="105" spans="1:7" x14ac:dyDescent="0.25">
      <c r="A105" s="84" t="s">
        <v>306</v>
      </c>
      <c r="B105" s="80">
        <v>53095.77</v>
      </c>
      <c r="C105" s="80">
        <v>-18855.45</v>
      </c>
      <c r="D105" s="80">
        <v>34240.32</v>
      </c>
      <c r="E105" s="80">
        <v>0</v>
      </c>
      <c r="F105" s="80">
        <v>34240.32</v>
      </c>
      <c r="G105" s="80">
        <f t="shared" ref="G105:G112" si="25">D105-E105</f>
        <v>34240.32</v>
      </c>
    </row>
    <row r="106" spans="1:7" x14ac:dyDescent="0.25">
      <c r="A106" s="84" t="s">
        <v>307</v>
      </c>
      <c r="B106" s="80">
        <v>5994576.9800000004</v>
      </c>
      <c r="C106" s="80">
        <v>-77230.540000000037</v>
      </c>
      <c r="D106" s="80">
        <v>5917346.4400000004</v>
      </c>
      <c r="E106" s="80">
        <v>0</v>
      </c>
      <c r="F106" s="80">
        <v>4522624.6399999997</v>
      </c>
      <c r="G106" s="80">
        <f t="shared" si="25"/>
        <v>5917346.4400000004</v>
      </c>
    </row>
    <row r="107" spans="1:7" x14ac:dyDescent="0.25">
      <c r="A107" s="84" t="s">
        <v>308</v>
      </c>
      <c r="B107" s="80">
        <v>5000</v>
      </c>
      <c r="C107" s="80">
        <v>-2622</v>
      </c>
      <c r="D107" s="80">
        <v>2378</v>
      </c>
      <c r="E107" s="80">
        <v>0</v>
      </c>
      <c r="F107" s="80">
        <v>2378</v>
      </c>
      <c r="G107" s="80">
        <f t="shared" si="25"/>
        <v>2378</v>
      </c>
    </row>
    <row r="108" spans="1:7" x14ac:dyDescent="0.25">
      <c r="A108" s="84" t="s">
        <v>309</v>
      </c>
      <c r="B108" s="80">
        <v>284956.3</v>
      </c>
      <c r="C108" s="80">
        <v>-32068.150000000023</v>
      </c>
      <c r="D108" s="80">
        <v>252888.15</v>
      </c>
      <c r="E108" s="80">
        <v>0</v>
      </c>
      <c r="F108" s="80">
        <v>252888.15</v>
      </c>
      <c r="G108" s="80">
        <f t="shared" si="25"/>
        <v>252888.15</v>
      </c>
    </row>
    <row r="109" spans="1:7" x14ac:dyDescent="0.25">
      <c r="A109" s="84" t="s">
        <v>310</v>
      </c>
      <c r="B109" s="80">
        <v>120000</v>
      </c>
      <c r="C109" s="80">
        <v>-120000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55000</v>
      </c>
      <c r="C110" s="80">
        <v>-29717.789999999994</v>
      </c>
      <c r="D110" s="80">
        <v>25282.21</v>
      </c>
      <c r="E110" s="80">
        <v>0</v>
      </c>
      <c r="F110" s="80">
        <v>25282.21</v>
      </c>
      <c r="G110" s="80">
        <f t="shared" si="25"/>
        <v>25282.21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732065.49</v>
      </c>
      <c r="C112" s="80">
        <v>-32518.570000000007</v>
      </c>
      <c r="D112" s="80">
        <v>699546.92</v>
      </c>
      <c r="E112" s="80">
        <v>0</v>
      </c>
      <c r="F112" s="80">
        <v>699546.92</v>
      </c>
      <c r="G112" s="80">
        <f t="shared" si="25"/>
        <v>699546.92</v>
      </c>
    </row>
    <row r="113" spans="1:7" x14ac:dyDescent="0.25">
      <c r="A113" s="83" t="s">
        <v>314</v>
      </c>
      <c r="B113" s="80">
        <f>SUM(B114:B122)</f>
        <v>41276719</v>
      </c>
      <c r="C113" s="80">
        <f t="shared" ref="C113:G113" si="26">SUM(C114:C122)</f>
        <v>1732612.8900000001</v>
      </c>
      <c r="D113" s="80">
        <f t="shared" si="26"/>
        <v>43009331.890000001</v>
      </c>
      <c r="E113" s="80">
        <f t="shared" si="26"/>
        <v>255206.76</v>
      </c>
      <c r="F113" s="80">
        <f t="shared" si="26"/>
        <v>36051521.5</v>
      </c>
      <c r="G113" s="80">
        <f t="shared" si="26"/>
        <v>42754125.129999995</v>
      </c>
    </row>
    <row r="114" spans="1:7" x14ac:dyDescent="0.25">
      <c r="A114" s="84" t="s">
        <v>315</v>
      </c>
      <c r="B114" s="80">
        <v>10550000</v>
      </c>
      <c r="C114" s="80">
        <v>0</v>
      </c>
      <c r="D114" s="80">
        <v>10550000</v>
      </c>
      <c r="E114" s="80">
        <v>0</v>
      </c>
      <c r="F114" s="80">
        <v>10550000</v>
      </c>
      <c r="G114" s="80">
        <f>D114-E114</f>
        <v>10550000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4106719</v>
      </c>
      <c r="C116" s="80">
        <v>-3356718.9999999995</v>
      </c>
      <c r="D116" s="80">
        <v>750000</v>
      </c>
      <c r="E116" s="80">
        <v>0</v>
      </c>
      <c r="F116" s="80">
        <v>750000</v>
      </c>
      <c r="G116" s="80">
        <f t="shared" si="27"/>
        <v>750000</v>
      </c>
    </row>
    <row r="117" spans="1:7" x14ac:dyDescent="0.25">
      <c r="A117" s="84" t="s">
        <v>318</v>
      </c>
      <c r="B117" s="80">
        <v>26620000</v>
      </c>
      <c r="C117" s="80">
        <v>5089331.8899999997</v>
      </c>
      <c r="D117" s="80">
        <v>31709331.890000001</v>
      </c>
      <c r="E117" s="80">
        <v>255206.76</v>
      </c>
      <c r="F117" s="80">
        <v>24751521.5</v>
      </c>
      <c r="G117" s="80">
        <f t="shared" si="27"/>
        <v>31454125.129999999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754022.05999999994</v>
      </c>
      <c r="C123" s="80">
        <f t="shared" ref="C123:G123" si="28">SUM(C124:C132)</f>
        <v>10056954.15</v>
      </c>
      <c r="D123" s="80">
        <f t="shared" si="28"/>
        <v>10810976.210000001</v>
      </c>
      <c r="E123" s="80">
        <f t="shared" si="28"/>
        <v>0</v>
      </c>
      <c r="F123" s="80">
        <f t="shared" si="28"/>
        <v>10565165.219999999</v>
      </c>
      <c r="G123" s="80">
        <f t="shared" si="28"/>
        <v>10810976.210000001</v>
      </c>
    </row>
    <row r="124" spans="1:7" x14ac:dyDescent="0.25">
      <c r="A124" s="84" t="s">
        <v>325</v>
      </c>
      <c r="B124" s="80">
        <v>222755.98</v>
      </c>
      <c r="C124" s="80">
        <v>498854.16000000003</v>
      </c>
      <c r="D124" s="80">
        <v>721610.14</v>
      </c>
      <c r="E124" s="80">
        <v>0</v>
      </c>
      <c r="F124" s="80">
        <v>536245.91</v>
      </c>
      <c r="G124" s="80">
        <f>D124-E124</f>
        <v>721610.14</v>
      </c>
    </row>
    <row r="125" spans="1:7" x14ac:dyDescent="0.25">
      <c r="A125" s="84" t="s">
        <v>326</v>
      </c>
      <c r="B125" s="80">
        <v>379999.98</v>
      </c>
      <c r="C125" s="80">
        <v>-379999.98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84266.1</v>
      </c>
      <c r="C126" s="80">
        <v>-50046.1</v>
      </c>
      <c r="D126" s="80">
        <v>34220</v>
      </c>
      <c r="E126" s="80">
        <v>0</v>
      </c>
      <c r="F126" s="80">
        <v>34220</v>
      </c>
      <c r="G126" s="80">
        <f t="shared" si="29"/>
        <v>34220</v>
      </c>
    </row>
    <row r="127" spans="1:7" x14ac:dyDescent="0.25">
      <c r="A127" s="84" t="s">
        <v>328</v>
      </c>
      <c r="B127" s="80">
        <v>0</v>
      </c>
      <c r="C127" s="80">
        <v>7435814.4900000002</v>
      </c>
      <c r="D127" s="80">
        <v>7435814.4900000002</v>
      </c>
      <c r="E127" s="80">
        <v>0</v>
      </c>
      <c r="F127" s="80">
        <v>7376407.7599999998</v>
      </c>
      <c r="G127" s="80">
        <f t="shared" si="29"/>
        <v>7435814.4900000002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49000</v>
      </c>
      <c r="C129" s="80">
        <v>2567131.58</v>
      </c>
      <c r="D129" s="80">
        <v>2616131.58</v>
      </c>
      <c r="E129" s="80">
        <v>0</v>
      </c>
      <c r="F129" s="80">
        <v>2615931.5499999998</v>
      </c>
      <c r="G129" s="80">
        <f t="shared" si="29"/>
        <v>2616131.58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18000</v>
      </c>
      <c r="C132" s="80">
        <v>-14800</v>
      </c>
      <c r="D132" s="80">
        <v>3200</v>
      </c>
      <c r="E132" s="80">
        <v>0</v>
      </c>
      <c r="F132" s="80">
        <v>2360</v>
      </c>
      <c r="G132" s="80">
        <f t="shared" si="29"/>
        <v>3200</v>
      </c>
    </row>
    <row r="133" spans="1:7" x14ac:dyDescent="0.25">
      <c r="A133" s="83" t="s">
        <v>334</v>
      </c>
      <c r="B133" s="80">
        <f>SUM(B134:B136)</f>
        <v>140613946</v>
      </c>
      <c r="C133" s="80">
        <f t="shared" ref="C133:G133" si="30">SUM(C134:C136)</f>
        <v>33313244.620000005</v>
      </c>
      <c r="D133" s="80">
        <f t="shared" si="30"/>
        <v>173927190.62</v>
      </c>
      <c r="E133" s="80">
        <f t="shared" si="30"/>
        <v>0</v>
      </c>
      <c r="F133" s="80">
        <f t="shared" si="30"/>
        <v>127848034.95999999</v>
      </c>
      <c r="G133" s="80">
        <f t="shared" si="30"/>
        <v>173927190.62</v>
      </c>
    </row>
    <row r="134" spans="1:7" x14ac:dyDescent="0.25">
      <c r="A134" s="84" t="s">
        <v>335</v>
      </c>
      <c r="B134" s="80">
        <v>136428960</v>
      </c>
      <c r="C134" s="80">
        <v>37498230.620000005</v>
      </c>
      <c r="D134" s="80">
        <v>173927190.62</v>
      </c>
      <c r="E134" s="80">
        <v>0</v>
      </c>
      <c r="F134" s="80">
        <v>127848034.95999999</v>
      </c>
      <c r="G134" s="80">
        <f>D134-E134</f>
        <v>173927190.62</v>
      </c>
    </row>
    <row r="135" spans="1:7" x14ac:dyDescent="0.25">
      <c r="A135" s="84" t="s">
        <v>336</v>
      </c>
      <c r="B135" s="80">
        <v>4184986</v>
      </c>
      <c r="C135" s="80">
        <v>-4184986</v>
      </c>
      <c r="D135" s="80">
        <v>0</v>
      </c>
      <c r="E135" s="80">
        <v>0</v>
      </c>
      <c r="F135" s="80">
        <v>0</v>
      </c>
      <c r="G135" s="80">
        <f t="shared" ref="G135:G136" si="31">D135-E135</f>
        <v>0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5600000</v>
      </c>
      <c r="C146" s="80">
        <f t="shared" ref="C146:G146" si="34">SUM(C147:C149)</f>
        <v>-1655793.31</v>
      </c>
      <c r="D146" s="80">
        <f t="shared" si="34"/>
        <v>3944206.69</v>
      </c>
      <c r="E146" s="80">
        <f t="shared" si="34"/>
        <v>0</v>
      </c>
      <c r="F146" s="80">
        <f t="shared" si="34"/>
        <v>3944206.69</v>
      </c>
      <c r="G146" s="80">
        <f t="shared" si="34"/>
        <v>3944206.69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5600000</v>
      </c>
      <c r="C149" s="80">
        <v>-1655793.31</v>
      </c>
      <c r="D149" s="80">
        <v>3944206.69</v>
      </c>
      <c r="E149" s="80">
        <v>0</v>
      </c>
      <c r="F149" s="80">
        <v>3944206.69</v>
      </c>
      <c r="G149" s="80">
        <f t="shared" si="35"/>
        <v>3944206.69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464299736.19000006</v>
      </c>
      <c r="C159" s="79">
        <f t="shared" ref="C159:G159" si="38">C9+C84</f>
        <v>92839875.649999991</v>
      </c>
      <c r="D159" s="79">
        <f t="shared" si="38"/>
        <v>557139611.84000003</v>
      </c>
      <c r="E159" s="79">
        <f t="shared" si="38"/>
        <v>3264635.8599999994</v>
      </c>
      <c r="F159" s="79">
        <f t="shared" si="38"/>
        <v>440200648.38</v>
      </c>
      <c r="G159" s="79">
        <f t="shared" si="38"/>
        <v>553874975.98000002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4" orientation="portrait" r:id="rId1"/>
  <rowBreaks count="1" manualBreakCount="1">
    <brk id="8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205844470.19000003</v>
      </c>
      <c r="Q2" s="18">
        <f>'Formato 6 a)'!C9</f>
        <v>53374170.00999999</v>
      </c>
      <c r="R2" s="18">
        <f>'Formato 6 a)'!D9</f>
        <v>259218640.19999999</v>
      </c>
      <c r="S2" s="18">
        <f>'Formato 6 a)'!E9</f>
        <v>3009429.0999999996</v>
      </c>
      <c r="T2" s="18">
        <f>'Formato 6 a)'!F9</f>
        <v>196988043.04000002</v>
      </c>
      <c r="U2" s="18">
        <f>'Formato 6 a)'!G9</f>
        <v>256209211.10000002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76453028.930000007</v>
      </c>
      <c r="Q3" s="18">
        <f>'Formato 6 a)'!C10</f>
        <v>0</v>
      </c>
      <c r="R3" s="18">
        <f>'Formato 6 a)'!D10</f>
        <v>76453028.929999992</v>
      </c>
      <c r="S3" s="18">
        <f>'Formato 6 a)'!E10</f>
        <v>1602469.38</v>
      </c>
      <c r="T3" s="18">
        <f>'Formato 6 a)'!F10</f>
        <v>70722771.349999994</v>
      </c>
      <c r="U3" s="18">
        <f>'Formato 6 a)'!G10</f>
        <v>74850559.549999997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47128776.960000001</v>
      </c>
      <c r="Q4" s="18">
        <f>'Formato 6 a)'!C11</f>
        <v>-498857.91000000003</v>
      </c>
      <c r="R4" s="18">
        <f>'Formato 6 a)'!D11</f>
        <v>46629919.049999997</v>
      </c>
      <c r="S4" s="18">
        <f>'Formato 6 a)'!E11</f>
        <v>0</v>
      </c>
      <c r="T4" s="18">
        <f>'Formato 6 a)'!F11</f>
        <v>45368625.68</v>
      </c>
      <c r="U4" s="18">
        <f>'Formato 6 a)'!G11</f>
        <v>46629919.049999997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7031194.6299999999</v>
      </c>
      <c r="Q6" s="18">
        <f>'Formato 6 a)'!C13</f>
        <v>6654.7899999999936</v>
      </c>
      <c r="R6" s="18">
        <f>'Formato 6 a)'!D13</f>
        <v>7037849.4199999999</v>
      </c>
      <c r="S6" s="18">
        <f>'Formato 6 a)'!E13</f>
        <v>0</v>
      </c>
      <c r="T6" s="18">
        <f>'Formato 6 a)'!F13</f>
        <v>6667960.7800000003</v>
      </c>
      <c r="U6" s="18">
        <f>'Formato 6 a)'!G13</f>
        <v>7037849.4199999999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13982573.869999999</v>
      </c>
      <c r="Q7" s="18">
        <f>'Formato 6 a)'!C14</f>
        <v>12985.45</v>
      </c>
      <c r="R7" s="18">
        <f>'Formato 6 a)'!D14</f>
        <v>13995559.32</v>
      </c>
      <c r="S7" s="18">
        <f>'Formato 6 a)'!E14</f>
        <v>1602469.38</v>
      </c>
      <c r="T7" s="18">
        <f>'Formato 6 a)'!F14</f>
        <v>10482156.210000001</v>
      </c>
      <c r="U7" s="18">
        <f>'Formato 6 a)'!G14</f>
        <v>12393089.940000001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8310483.4699999997</v>
      </c>
      <c r="Q8" s="18">
        <f>'Formato 6 a)'!C15</f>
        <v>479217.67000000004</v>
      </c>
      <c r="R8" s="18">
        <f>'Formato 6 a)'!D15</f>
        <v>8789701.1400000006</v>
      </c>
      <c r="S8" s="18">
        <f>'Formato 6 a)'!E15</f>
        <v>0</v>
      </c>
      <c r="T8" s="18">
        <f>'Formato 6 a)'!F15</f>
        <v>8204028.6799999997</v>
      </c>
      <c r="U8" s="18">
        <f>'Formato 6 a)'!G15</f>
        <v>8789701.1400000006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17146820.080000002</v>
      </c>
      <c r="Q11" s="18">
        <f>'Formato 6 a)'!C18</f>
        <v>2054668.12</v>
      </c>
      <c r="R11" s="18">
        <f>'Formato 6 a)'!D18</f>
        <v>19201488.199999999</v>
      </c>
      <c r="S11" s="18">
        <f>'Formato 6 a)'!E18</f>
        <v>382269.66999999993</v>
      </c>
      <c r="T11" s="18">
        <f>'Formato 6 a)'!F18</f>
        <v>15763988.379999999</v>
      </c>
      <c r="U11" s="18">
        <f>'Formato 6 a)'!G18</f>
        <v>18819218.530000001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2522548.2000000002</v>
      </c>
      <c r="Q12" s="18">
        <f>'Formato 6 a)'!C19</f>
        <v>-387341.94999999995</v>
      </c>
      <c r="R12" s="18">
        <f>'Formato 6 a)'!D19</f>
        <v>2135206.25</v>
      </c>
      <c r="S12" s="18">
        <f>'Formato 6 a)'!E19</f>
        <v>55942.559999999998</v>
      </c>
      <c r="T12" s="18">
        <f>'Formato 6 a)'!F19</f>
        <v>1615424.1</v>
      </c>
      <c r="U12" s="18">
        <f>'Formato 6 a)'!G19</f>
        <v>2079263.69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404738.69</v>
      </c>
      <c r="Q13" s="18">
        <f>'Formato 6 a)'!C20</f>
        <v>-51302.469999999987</v>
      </c>
      <c r="R13" s="18">
        <f>'Formato 6 a)'!D20</f>
        <v>353436.22</v>
      </c>
      <c r="S13" s="18">
        <f>'Formato 6 a)'!E20</f>
        <v>1010</v>
      </c>
      <c r="T13" s="18">
        <f>'Formato 6 a)'!F20</f>
        <v>227712.64000000001</v>
      </c>
      <c r="U13" s="18">
        <f>'Formato 6 a)'!G20</f>
        <v>352426.22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20000</v>
      </c>
      <c r="Q14" s="18">
        <f>'Formato 6 a)'!C21</f>
        <v>2000</v>
      </c>
      <c r="R14" s="18">
        <f>'Formato 6 a)'!D21</f>
        <v>22000</v>
      </c>
      <c r="S14" s="18">
        <f>'Formato 6 a)'!E21</f>
        <v>0</v>
      </c>
      <c r="T14" s="18">
        <f>'Formato 6 a)'!F21</f>
        <v>0</v>
      </c>
      <c r="U14" s="18">
        <f>'Formato 6 a)'!G21</f>
        <v>22000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2313035.79</v>
      </c>
      <c r="Q15" s="18">
        <f>'Formato 6 a)'!C22</f>
        <v>1962813.31</v>
      </c>
      <c r="R15" s="18">
        <f>'Formato 6 a)'!D22</f>
        <v>4275849.0999999996</v>
      </c>
      <c r="S15" s="18">
        <f>'Formato 6 a)'!E22</f>
        <v>196245.31</v>
      </c>
      <c r="T15" s="18">
        <f>'Formato 6 a)'!F22</f>
        <v>3698796.16</v>
      </c>
      <c r="U15" s="18">
        <f>'Formato 6 a)'!G22</f>
        <v>4079603.7899999996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72933.75</v>
      </c>
      <c r="Q16" s="18">
        <f>'Formato 6 a)'!C23</f>
        <v>401234.03</v>
      </c>
      <c r="R16" s="18">
        <f>'Formato 6 a)'!D23</f>
        <v>474167.78</v>
      </c>
      <c r="S16" s="18">
        <f>'Formato 6 a)'!E23</f>
        <v>6414.8</v>
      </c>
      <c r="T16" s="18">
        <f>'Formato 6 a)'!F23</f>
        <v>128093.8</v>
      </c>
      <c r="U16" s="18">
        <f>'Formato 6 a)'!G23</f>
        <v>467752.98000000004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8711987.1400000006</v>
      </c>
      <c r="Q17" s="18">
        <f>'Formato 6 a)'!C24</f>
        <v>-188256.12000000011</v>
      </c>
      <c r="R17" s="18">
        <f>'Formato 6 a)'!D24</f>
        <v>8523731.0199999996</v>
      </c>
      <c r="S17" s="18">
        <f>'Formato 6 a)'!E24</f>
        <v>28281.42</v>
      </c>
      <c r="T17" s="18">
        <f>'Formato 6 a)'!F24</f>
        <v>7300559.9800000004</v>
      </c>
      <c r="U17" s="18">
        <f>'Formato 6 a)'!G24</f>
        <v>8495449.5999999996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600545.39</v>
      </c>
      <c r="Q18" s="18">
        <f>'Formato 6 a)'!C25</f>
        <v>91550.010000000009</v>
      </c>
      <c r="R18" s="18">
        <f>'Formato 6 a)'!D25</f>
        <v>692095.4</v>
      </c>
      <c r="S18" s="18">
        <f>'Formato 6 a)'!E25</f>
        <v>65247.6</v>
      </c>
      <c r="T18" s="18">
        <f>'Formato 6 a)'!F25</f>
        <v>520376.59</v>
      </c>
      <c r="U18" s="18">
        <f>'Formato 6 a)'!G25</f>
        <v>626847.80000000005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2000</v>
      </c>
      <c r="R19" s="18">
        <f>'Formato 6 a)'!D26</f>
        <v>2000</v>
      </c>
      <c r="S19" s="18">
        <f>'Formato 6 a)'!E26</f>
        <v>0</v>
      </c>
      <c r="T19" s="18">
        <f>'Formato 6 a)'!F26</f>
        <v>0</v>
      </c>
      <c r="U19" s="18">
        <f>'Formato 6 a)'!G26</f>
        <v>2000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2501031.12</v>
      </c>
      <c r="Q20" s="18">
        <f>'Formato 6 a)'!C27</f>
        <v>221971.31</v>
      </c>
      <c r="R20" s="18">
        <f>'Formato 6 a)'!D27</f>
        <v>2723002.43</v>
      </c>
      <c r="S20" s="18">
        <f>'Formato 6 a)'!E27</f>
        <v>29127.98</v>
      </c>
      <c r="T20" s="18">
        <f>'Formato 6 a)'!F27</f>
        <v>2273025.11</v>
      </c>
      <c r="U20" s="18">
        <f>'Formato 6 a)'!G27</f>
        <v>2693874.45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29567887.440000005</v>
      </c>
      <c r="Q21" s="18">
        <f>'Formato 6 a)'!C28</f>
        <v>-4089857.0900000008</v>
      </c>
      <c r="R21" s="18">
        <f>'Formato 6 a)'!D28</f>
        <v>25478030.350000001</v>
      </c>
      <c r="S21" s="18">
        <f>'Formato 6 a)'!E28</f>
        <v>761254.94000000006</v>
      </c>
      <c r="T21" s="18">
        <f>'Formato 6 a)'!F28</f>
        <v>17113430.699999999</v>
      </c>
      <c r="U21" s="18">
        <f>'Formato 6 a)'!G28</f>
        <v>24716775.41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2717145</v>
      </c>
      <c r="Q22" s="18">
        <f>'Formato 6 a)'!C29</f>
        <v>-31833.300000000003</v>
      </c>
      <c r="R22" s="18">
        <f>'Formato 6 a)'!D29</f>
        <v>2685311.7</v>
      </c>
      <c r="S22" s="18">
        <f>'Formato 6 a)'!E29</f>
        <v>78513</v>
      </c>
      <c r="T22" s="18">
        <f>'Formato 6 a)'!F29</f>
        <v>2071561.32</v>
      </c>
      <c r="U22" s="18">
        <f>'Formato 6 a)'!G29</f>
        <v>2606798.7000000002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2043830.53</v>
      </c>
      <c r="Q23" s="18">
        <f>'Formato 6 a)'!C30</f>
        <v>-202408.72999999998</v>
      </c>
      <c r="R23" s="18">
        <f>'Formato 6 a)'!D30</f>
        <v>1841421.8</v>
      </c>
      <c r="S23" s="18">
        <f>'Formato 6 a)'!E30</f>
        <v>233793.41</v>
      </c>
      <c r="T23" s="18">
        <f>'Formato 6 a)'!F30</f>
        <v>1144476.72</v>
      </c>
      <c r="U23" s="18">
        <f>'Formato 6 a)'!G30</f>
        <v>1607628.3900000001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5815365.5</v>
      </c>
      <c r="Q24" s="18">
        <f>'Formato 6 a)'!C31</f>
        <v>1872789.8999999994</v>
      </c>
      <c r="R24" s="18">
        <f>'Formato 6 a)'!D31</f>
        <v>7688155.4000000004</v>
      </c>
      <c r="S24" s="18">
        <f>'Formato 6 a)'!E31</f>
        <v>186000</v>
      </c>
      <c r="T24" s="18">
        <f>'Formato 6 a)'!F31</f>
        <v>5025651.76</v>
      </c>
      <c r="U24" s="18">
        <f>'Formato 6 a)'!G31</f>
        <v>7502155.4000000004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2896000</v>
      </c>
      <c r="Q25" s="18">
        <f>'Formato 6 a)'!C32</f>
        <v>-579119.41</v>
      </c>
      <c r="R25" s="18">
        <f>'Formato 6 a)'!D32</f>
        <v>2316880.59</v>
      </c>
      <c r="S25" s="18">
        <f>'Formato 6 a)'!E32</f>
        <v>0</v>
      </c>
      <c r="T25" s="18">
        <f>'Formato 6 a)'!F32</f>
        <v>2130899.4500000002</v>
      </c>
      <c r="U25" s="18">
        <f>'Formato 6 a)'!G32</f>
        <v>2316880.59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1595570.69</v>
      </c>
      <c r="Q26" s="18">
        <f>'Formato 6 a)'!C33</f>
        <v>58349.390000000014</v>
      </c>
      <c r="R26" s="18">
        <f>'Formato 6 a)'!D33</f>
        <v>1653920.08</v>
      </c>
      <c r="S26" s="18">
        <f>'Formato 6 a)'!E33</f>
        <v>0</v>
      </c>
      <c r="T26" s="18">
        <f>'Formato 6 a)'!F33</f>
        <v>1164416.54</v>
      </c>
      <c r="U26" s="18">
        <f>'Formato 6 a)'!G33</f>
        <v>1653920.08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840285.69</v>
      </c>
      <c r="Q27" s="18">
        <f>'Formato 6 a)'!C34</f>
        <v>32784.380000000005</v>
      </c>
      <c r="R27" s="18">
        <f>'Formato 6 a)'!D34</f>
        <v>873070.07</v>
      </c>
      <c r="S27" s="18">
        <f>'Formato 6 a)'!E34</f>
        <v>47612.78</v>
      </c>
      <c r="T27" s="18">
        <f>'Formato 6 a)'!F34</f>
        <v>491631.3</v>
      </c>
      <c r="U27" s="18">
        <f>'Formato 6 a)'!G34</f>
        <v>825457.28999999992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222336.63</v>
      </c>
      <c r="Q28" s="18">
        <f>'Formato 6 a)'!C35</f>
        <v>-55954.46</v>
      </c>
      <c r="R28" s="18">
        <f>'Formato 6 a)'!D35</f>
        <v>166382.17000000001</v>
      </c>
      <c r="S28" s="18">
        <f>'Formato 6 a)'!E35</f>
        <v>0</v>
      </c>
      <c r="T28" s="18">
        <f>'Formato 6 a)'!F35</f>
        <v>22455.26</v>
      </c>
      <c r="U28" s="18">
        <f>'Formato 6 a)'!G35</f>
        <v>166382.17000000001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6573718.7300000004</v>
      </c>
      <c r="Q29" s="18">
        <f>'Formato 6 a)'!C36</f>
        <v>-5398044.6200000001</v>
      </c>
      <c r="R29" s="18">
        <f>'Formato 6 a)'!D36</f>
        <v>1175674.1100000001</v>
      </c>
      <c r="S29" s="18">
        <f>'Formato 6 a)'!E36</f>
        <v>0</v>
      </c>
      <c r="T29" s="18">
        <f>'Formato 6 a)'!F36</f>
        <v>910772.97</v>
      </c>
      <c r="U29" s="18">
        <f>'Formato 6 a)'!G36</f>
        <v>1175674.1100000001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6863634.6699999999</v>
      </c>
      <c r="Q30" s="18">
        <f>'Formato 6 a)'!C37</f>
        <v>213579.75999999978</v>
      </c>
      <c r="R30" s="18">
        <f>'Formato 6 a)'!D37</f>
        <v>7077214.4299999997</v>
      </c>
      <c r="S30" s="18">
        <f>'Formato 6 a)'!E37</f>
        <v>215335.75</v>
      </c>
      <c r="T30" s="18">
        <f>'Formato 6 a)'!F37</f>
        <v>4151565.38</v>
      </c>
      <c r="U30" s="18">
        <f>'Formato 6 a)'!G37</f>
        <v>6861878.6799999997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29082362.68</v>
      </c>
      <c r="Q31" s="18">
        <f>'Formato 6 a)'!C38</f>
        <v>636957.63000000152</v>
      </c>
      <c r="R31" s="18">
        <f>'Formato 6 a)'!D38</f>
        <v>29719320.310000002</v>
      </c>
      <c r="S31" s="18">
        <f>'Formato 6 a)'!E38</f>
        <v>20000</v>
      </c>
      <c r="T31" s="18">
        <f>'Formato 6 a)'!F38</f>
        <v>25428780.200000003</v>
      </c>
      <c r="U31" s="18">
        <f>'Formato 6 a)'!G38</f>
        <v>29699320.310000002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4300000</v>
      </c>
      <c r="Q32" s="18">
        <f>'Formato 6 a)'!C39</f>
        <v>-309987</v>
      </c>
      <c r="R32" s="18">
        <f>'Formato 6 a)'!D39</f>
        <v>3990013</v>
      </c>
      <c r="S32" s="18">
        <f>'Formato 6 a)'!E39</f>
        <v>0</v>
      </c>
      <c r="T32" s="18">
        <f>'Formato 6 a)'!F39</f>
        <v>3990012.72</v>
      </c>
      <c r="U32" s="18">
        <f>'Formato 6 a)'!G39</f>
        <v>3990013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10565668.42</v>
      </c>
      <c r="Q34" s="18">
        <f>'Formato 6 a)'!C41</f>
        <v>-19505.64999999851</v>
      </c>
      <c r="R34" s="18">
        <f>'Formato 6 a)'!D41</f>
        <v>10546162.77</v>
      </c>
      <c r="S34" s="18">
        <f>'Formato 6 a)'!E41</f>
        <v>0</v>
      </c>
      <c r="T34" s="18">
        <f>'Formato 6 a)'!F41</f>
        <v>8056478.9500000002</v>
      </c>
      <c r="U34" s="18">
        <f>'Formato 6 a)'!G41</f>
        <v>10546162.77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4462100</v>
      </c>
      <c r="Q35" s="18">
        <f>'Formato 6 a)'!C42</f>
        <v>1297333.08</v>
      </c>
      <c r="R35" s="18">
        <f>'Formato 6 a)'!D42</f>
        <v>5759433.0800000001</v>
      </c>
      <c r="S35" s="18">
        <f>'Formato 6 a)'!E42</f>
        <v>20000</v>
      </c>
      <c r="T35" s="18">
        <f>'Formato 6 a)'!F42</f>
        <v>5663273.1299999999</v>
      </c>
      <c r="U35" s="18">
        <f>'Formato 6 a)'!G42</f>
        <v>5739433.0800000001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9154594.2599999998</v>
      </c>
      <c r="Q36" s="18">
        <f>'Formato 6 a)'!C43</f>
        <v>-262882.8</v>
      </c>
      <c r="R36" s="18">
        <f>'Formato 6 a)'!D43</f>
        <v>8891711.4600000009</v>
      </c>
      <c r="S36" s="18">
        <f>'Formato 6 a)'!E43</f>
        <v>0</v>
      </c>
      <c r="T36" s="18">
        <f>'Formato 6 a)'!F43</f>
        <v>7227015.4000000004</v>
      </c>
      <c r="U36" s="18">
        <f>'Formato 6 a)'!G43</f>
        <v>8891711.4600000009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600000</v>
      </c>
      <c r="Q39" s="18">
        <f>'Formato 6 a)'!C46</f>
        <v>-68000</v>
      </c>
      <c r="R39" s="18">
        <f>'Formato 6 a)'!D46</f>
        <v>532000</v>
      </c>
      <c r="S39" s="18">
        <f>'Formato 6 a)'!E46</f>
        <v>0</v>
      </c>
      <c r="T39" s="18">
        <f>'Formato 6 a)'!F46</f>
        <v>492000</v>
      </c>
      <c r="U39" s="18">
        <f>'Formato 6 a)'!G46</f>
        <v>532000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3530597.16</v>
      </c>
      <c r="Q41" s="18">
        <f>'Formato 6 a)'!C48</f>
        <v>-2418088.2199999997</v>
      </c>
      <c r="R41" s="18">
        <f>'Formato 6 a)'!D48</f>
        <v>1112508.94</v>
      </c>
      <c r="S41" s="18">
        <f>'Formato 6 a)'!E48</f>
        <v>4400</v>
      </c>
      <c r="T41" s="18">
        <f>'Formato 6 a)'!F48</f>
        <v>924396.18</v>
      </c>
      <c r="U41" s="18">
        <f>'Formato 6 a)'!G48</f>
        <v>1108108.94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719696.49</v>
      </c>
      <c r="Q42" s="18">
        <f>'Formato 6 a)'!C49</f>
        <v>173622.45999999996</v>
      </c>
      <c r="R42" s="18">
        <f>'Formato 6 a)'!D49</f>
        <v>893318.95</v>
      </c>
      <c r="S42" s="18">
        <f>'Formato 6 a)'!E49</f>
        <v>0</v>
      </c>
      <c r="T42" s="18">
        <f>'Formato 6 a)'!F49</f>
        <v>780652.65</v>
      </c>
      <c r="U42" s="18">
        <f>'Formato 6 a)'!G49</f>
        <v>893318.95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191000</v>
      </c>
      <c r="Q43" s="18">
        <f>'Formato 6 a)'!C50</f>
        <v>-180400</v>
      </c>
      <c r="R43" s="18">
        <f>'Formato 6 a)'!D50</f>
        <v>10600</v>
      </c>
      <c r="S43" s="18">
        <f>'Formato 6 a)'!E50</f>
        <v>0</v>
      </c>
      <c r="T43" s="18">
        <f>'Formato 6 a)'!F50</f>
        <v>5550.02</v>
      </c>
      <c r="U43" s="18">
        <f>'Formato 6 a)'!G50</f>
        <v>10600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2009000</v>
      </c>
      <c r="Q45" s="18">
        <f>'Formato 6 a)'!C52</f>
        <v>-2009000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414000</v>
      </c>
      <c r="Q47" s="18">
        <f>'Formato 6 a)'!C54</f>
        <v>-244410.01</v>
      </c>
      <c r="R47" s="18">
        <f>'Formato 6 a)'!D54</f>
        <v>169589.99</v>
      </c>
      <c r="S47" s="18">
        <f>'Formato 6 a)'!E54</f>
        <v>4400</v>
      </c>
      <c r="T47" s="18">
        <f>'Formato 6 a)'!F54</f>
        <v>111049.51</v>
      </c>
      <c r="U47" s="18">
        <f>'Formato 6 a)'!G54</f>
        <v>165189.99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196900.67</v>
      </c>
      <c r="Q50" s="18">
        <f>'Formato 6 a)'!C57</f>
        <v>-157900.67000000001</v>
      </c>
      <c r="R50" s="18">
        <f>'Formato 6 a)'!D57</f>
        <v>39000</v>
      </c>
      <c r="S50" s="18">
        <f>'Formato 6 a)'!E57</f>
        <v>0</v>
      </c>
      <c r="T50" s="18">
        <f>'Formato 6 a)'!F57</f>
        <v>27144</v>
      </c>
      <c r="U50" s="18">
        <f>'Formato 6 a)'!G57</f>
        <v>39000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31690660.719999999</v>
      </c>
      <c r="Q51" s="18">
        <f>'Formato 6 a)'!C58</f>
        <v>68351185.00999999</v>
      </c>
      <c r="R51" s="18">
        <f>'Formato 6 a)'!D58</f>
        <v>100041845.73</v>
      </c>
      <c r="S51" s="18">
        <f>'Formato 6 a)'!E58</f>
        <v>239035.11</v>
      </c>
      <c r="T51" s="18">
        <f>'Formato 6 a)'!F58</f>
        <v>66226098.43</v>
      </c>
      <c r="U51" s="18">
        <f>'Formato 6 a)'!G58</f>
        <v>99802810.620000005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31690660.719999999</v>
      </c>
      <c r="Q52" s="18">
        <f>'Formato 6 a)'!C59</f>
        <v>68351185.00999999</v>
      </c>
      <c r="R52" s="18">
        <f>'Formato 6 a)'!D59</f>
        <v>100041845.73</v>
      </c>
      <c r="S52" s="18">
        <f>'Formato 6 a)'!E59</f>
        <v>239035.11</v>
      </c>
      <c r="T52" s="18">
        <f>'Formato 6 a)'!F59</f>
        <v>66226098.43</v>
      </c>
      <c r="U52" s="18">
        <f>'Formato 6 a)'!G59</f>
        <v>99802810.620000005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18120815</v>
      </c>
      <c r="Q55" s="18">
        <f>'Formato 6 a)'!C62</f>
        <v>-12793056.629999999</v>
      </c>
      <c r="R55" s="18">
        <f>'Formato 6 a)'!D62</f>
        <v>5327758.37</v>
      </c>
      <c r="S55" s="18">
        <f>'Formato 6 a)'!E62</f>
        <v>0</v>
      </c>
      <c r="T55" s="18">
        <f>'Formato 6 a)'!F62</f>
        <v>0</v>
      </c>
      <c r="U55" s="18">
        <f>'Formato 6 a)'!G62</f>
        <v>5327758.37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18120815</v>
      </c>
      <c r="Q63" s="18">
        <f>'Formato 6 a)'!C70</f>
        <v>-12793056.629999999</v>
      </c>
      <c r="R63" s="18">
        <f>'Formato 6 a)'!D70</f>
        <v>5327758.37</v>
      </c>
      <c r="S63" s="18">
        <f>'Formato 6 a)'!E70</f>
        <v>0</v>
      </c>
      <c r="T63" s="18">
        <f>'Formato 6 a)'!F70</f>
        <v>0</v>
      </c>
      <c r="U63" s="18">
        <f>'Formato 6 a)'!G70</f>
        <v>5327758.37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69000</v>
      </c>
      <c r="Q64" s="18">
        <f>'Formato 6 a)'!C71</f>
        <v>1815659.37</v>
      </c>
      <c r="R64" s="18">
        <f>'Formato 6 a)'!D71</f>
        <v>1884659.37</v>
      </c>
      <c r="S64" s="18">
        <f>'Formato 6 a)'!E71</f>
        <v>0</v>
      </c>
      <c r="T64" s="18">
        <f>'Formato 6 a)'!F71</f>
        <v>808577.8</v>
      </c>
      <c r="U64" s="18">
        <f>'Formato 6 a)'!G71</f>
        <v>1884659.37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69000</v>
      </c>
      <c r="Q67" s="18">
        <f>'Formato 6 a)'!C74</f>
        <v>1815659.37</v>
      </c>
      <c r="R67" s="18">
        <f>'Formato 6 a)'!D74</f>
        <v>1884659.37</v>
      </c>
      <c r="S67" s="18">
        <f>'Formato 6 a)'!E74</f>
        <v>0</v>
      </c>
      <c r="T67" s="18">
        <f>'Formato 6 a)'!F74</f>
        <v>808577.8</v>
      </c>
      <c r="U67" s="18">
        <f>'Formato 6 a)'!G74</f>
        <v>1884659.37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183298.18</v>
      </c>
      <c r="Q68" s="18">
        <f>'Formato 6 a)'!C75</f>
        <v>-183298.18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183298.18</v>
      </c>
      <c r="Q75" s="18">
        <f>'Formato 6 a)'!C82</f>
        <v>-183298.18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258455266</v>
      </c>
      <c r="Q76">
        <f>'Formato 6 a)'!C84</f>
        <v>39465705.640000001</v>
      </c>
      <c r="R76">
        <f>'Formato 6 a)'!D84</f>
        <v>297920971.64000005</v>
      </c>
      <c r="S76">
        <f>'Formato 6 a)'!E84</f>
        <v>255206.76</v>
      </c>
      <c r="T76">
        <f>'Formato 6 a)'!F84</f>
        <v>243212605.33999997</v>
      </c>
      <c r="U76">
        <f>'Formato 6 a)'!G84</f>
        <v>297665764.88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42068133.600000001</v>
      </c>
      <c r="Q77">
        <f>'Formato 6 a)'!C85</f>
        <v>649569.39000000025</v>
      </c>
      <c r="R77">
        <f>'Formato 6 a)'!D85</f>
        <v>42717702.989999995</v>
      </c>
      <c r="S77">
        <f>'Formato 6 a)'!E85</f>
        <v>0</v>
      </c>
      <c r="T77">
        <f>'Formato 6 a)'!F85</f>
        <v>42717702.989999995</v>
      </c>
      <c r="U77">
        <f>'Formato 6 a)'!G85</f>
        <v>42717702.989999995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21844449.120000001</v>
      </c>
      <c r="Q78">
        <f>'Formato 6 a)'!C86</f>
        <v>1654260.4600000002</v>
      </c>
      <c r="R78">
        <f>'Formato 6 a)'!D86</f>
        <v>23498709.579999998</v>
      </c>
      <c r="S78">
        <f>'Formato 6 a)'!E86</f>
        <v>0</v>
      </c>
      <c r="T78">
        <f>'Formato 6 a)'!F86</f>
        <v>23498709.579999998</v>
      </c>
      <c r="U78">
        <f>'Formato 6 a)'!G86</f>
        <v>23498709.579999998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3257180.12</v>
      </c>
      <c r="Q80">
        <f>'Formato 6 a)'!C88</f>
        <v>-94627.199999999997</v>
      </c>
      <c r="R80">
        <f>'Formato 6 a)'!D88</f>
        <v>3162552.92</v>
      </c>
      <c r="S80">
        <f>'Formato 6 a)'!E88</f>
        <v>0</v>
      </c>
      <c r="T80">
        <f>'Formato 6 a)'!F88</f>
        <v>3162552.92</v>
      </c>
      <c r="U80">
        <f>'Formato 6 a)'!G88</f>
        <v>3162552.92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8399054.4499999993</v>
      </c>
      <c r="Q81">
        <f>'Formato 6 a)'!C89</f>
        <v>-722872.48</v>
      </c>
      <c r="R81">
        <f>'Formato 6 a)'!D89</f>
        <v>7676181.9699999997</v>
      </c>
      <c r="S81">
        <f>'Formato 6 a)'!E89</f>
        <v>0</v>
      </c>
      <c r="T81">
        <f>'Formato 6 a)'!F89</f>
        <v>7676181.9699999997</v>
      </c>
      <c r="U81">
        <f>'Formato 6 a)'!G89</f>
        <v>7676181.9699999997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5110012.79</v>
      </c>
      <c r="Q82">
        <f>'Formato 6 a)'!C90</f>
        <v>-93312.75</v>
      </c>
      <c r="R82">
        <f>'Formato 6 a)'!D90</f>
        <v>5016700.04</v>
      </c>
      <c r="S82">
        <f>'Formato 6 a)'!E90</f>
        <v>0</v>
      </c>
      <c r="T82">
        <f>'Formato 6 a)'!F90</f>
        <v>5016700.04</v>
      </c>
      <c r="U82">
        <f>'Formato 6 a)'!G90</f>
        <v>5016700.04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3457437.12</v>
      </c>
      <c r="Q84">
        <f>'Formato 6 a)'!C92</f>
        <v>-93878.64</v>
      </c>
      <c r="R84">
        <f>'Formato 6 a)'!D92</f>
        <v>3363558.48</v>
      </c>
      <c r="S84">
        <f>'Formato 6 a)'!E92</f>
        <v>0</v>
      </c>
      <c r="T84">
        <f>'Formato 6 a)'!F92</f>
        <v>3363558.48</v>
      </c>
      <c r="U84">
        <f>'Formato 6 a)'!G92</f>
        <v>3363558.48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7951882.4500000002</v>
      </c>
      <c r="Q85">
        <f>'Formato 6 a)'!C93</f>
        <v>-33680.049999999886</v>
      </c>
      <c r="R85">
        <f>'Formato 6 a)'!D93</f>
        <v>7918202.3999999994</v>
      </c>
      <c r="S85">
        <f>'Formato 6 a)'!E93</f>
        <v>0</v>
      </c>
      <c r="T85">
        <f>'Formato 6 a)'!F93</f>
        <v>7887334.9400000004</v>
      </c>
      <c r="U85">
        <f>'Formato 6 a)'!G93</f>
        <v>7918202.3999999994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272097.15000000002</v>
      </c>
      <c r="Q86">
        <f>'Formato 6 a)'!C94</f>
        <v>86121.22</v>
      </c>
      <c r="R86">
        <f>'Formato 6 a)'!D94</f>
        <v>358218.37</v>
      </c>
      <c r="S86">
        <f>'Formato 6 a)'!E94</f>
        <v>0</v>
      </c>
      <c r="T86">
        <f>'Formato 6 a)'!F94</f>
        <v>358218.37</v>
      </c>
      <c r="U86">
        <f>'Formato 6 a)'!G94</f>
        <v>358218.37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210958.04</v>
      </c>
      <c r="Q87">
        <f>'Formato 6 a)'!C95</f>
        <v>40911.35</v>
      </c>
      <c r="R87">
        <f>'Formato 6 a)'!D95</f>
        <v>251869.39</v>
      </c>
      <c r="S87">
        <f>'Formato 6 a)'!E95</f>
        <v>0</v>
      </c>
      <c r="T87">
        <f>'Formato 6 a)'!F95</f>
        <v>251869.39</v>
      </c>
      <c r="U87">
        <f>'Formato 6 a)'!G95</f>
        <v>251869.39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54677.1</v>
      </c>
      <c r="Q89">
        <f>'Formato 6 a)'!C97</f>
        <v>-20432.97</v>
      </c>
      <c r="R89">
        <f>'Formato 6 a)'!D97</f>
        <v>34244.129999999997</v>
      </c>
      <c r="S89">
        <f>'Formato 6 a)'!E97</f>
        <v>0</v>
      </c>
      <c r="T89">
        <f>'Formato 6 a)'!F97</f>
        <v>34244.129999999997</v>
      </c>
      <c r="U89">
        <f>'Formato 6 a)'!G97</f>
        <v>34244.129999999997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119648</v>
      </c>
      <c r="Q90">
        <f>'Formato 6 a)'!C98</f>
        <v>43443.31</v>
      </c>
      <c r="R90">
        <f>'Formato 6 a)'!D98</f>
        <v>163091.31</v>
      </c>
      <c r="S90">
        <f>'Formato 6 a)'!E98</f>
        <v>0</v>
      </c>
      <c r="T90">
        <f>'Formato 6 a)'!F98</f>
        <v>163091.31</v>
      </c>
      <c r="U90">
        <f>'Formato 6 a)'!G98</f>
        <v>163091.31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4670246.76</v>
      </c>
      <c r="Q91">
        <f>'Formato 6 a)'!C99</f>
        <v>-26351.599999999999</v>
      </c>
      <c r="R91">
        <f>'Formato 6 a)'!D99</f>
        <v>4643895.16</v>
      </c>
      <c r="S91">
        <f>'Formato 6 a)'!E99</f>
        <v>0</v>
      </c>
      <c r="T91">
        <f>'Formato 6 a)'!F99</f>
        <v>4643895.16</v>
      </c>
      <c r="U91">
        <f>'Formato 6 a)'!G99</f>
        <v>4643895.16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1459523.82</v>
      </c>
      <c r="Q92">
        <f>'Formato 6 a)'!C100</f>
        <v>380889.58000000007</v>
      </c>
      <c r="R92">
        <f>'Formato 6 a)'!D100</f>
        <v>1840413.4</v>
      </c>
      <c r="S92">
        <f>'Formato 6 a)'!E100</f>
        <v>0</v>
      </c>
      <c r="T92">
        <f>'Formato 6 a)'!F100</f>
        <v>1809545.94</v>
      </c>
      <c r="U92">
        <f>'Formato 6 a)'!G100</f>
        <v>1840413.4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623685.96</v>
      </c>
      <c r="Q93">
        <f>'Formato 6 a)'!C101</f>
        <v>-615485.96</v>
      </c>
      <c r="R93">
        <f>'Formato 6 a)'!D101</f>
        <v>8200</v>
      </c>
      <c r="S93">
        <f>'Formato 6 a)'!E101</f>
        <v>0</v>
      </c>
      <c r="T93">
        <f>'Formato 6 a)'!F101</f>
        <v>8200</v>
      </c>
      <c r="U93">
        <f>'Formato 6 a)'!G101</f>
        <v>8200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541045.62</v>
      </c>
      <c r="Q94">
        <f>'Formato 6 a)'!C102</f>
        <v>77225.02</v>
      </c>
      <c r="R94">
        <f>'Formato 6 a)'!D102</f>
        <v>618270.64</v>
      </c>
      <c r="S94">
        <f>'Formato 6 a)'!E102</f>
        <v>0</v>
      </c>
      <c r="T94">
        <f>'Formato 6 a)'!F102</f>
        <v>618270.64</v>
      </c>
      <c r="U94">
        <f>'Formato 6 a)'!G102</f>
        <v>618270.64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20190562.890000001</v>
      </c>
      <c r="Q95">
        <f>'Formato 6 a)'!C103</f>
        <v>-4597202.0500000007</v>
      </c>
      <c r="R95">
        <f>'Formato 6 a)'!D103</f>
        <v>15593360.840000004</v>
      </c>
      <c r="S95">
        <f>'Formato 6 a)'!E103</f>
        <v>0</v>
      </c>
      <c r="T95">
        <f>'Formato 6 a)'!F103</f>
        <v>14198639.040000003</v>
      </c>
      <c r="U95">
        <f>'Formato 6 a)'!G103</f>
        <v>15593360.840000004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12945868.35</v>
      </c>
      <c r="Q96">
        <f>'Formato 6 a)'!C104</f>
        <v>-4284189.55</v>
      </c>
      <c r="R96">
        <f>'Formato 6 a)'!D104</f>
        <v>8661678.8000000007</v>
      </c>
      <c r="S96">
        <f>'Formato 6 a)'!E104</f>
        <v>0</v>
      </c>
      <c r="T96">
        <f>'Formato 6 a)'!F104</f>
        <v>8661678.8000000007</v>
      </c>
      <c r="U96">
        <f>'Formato 6 a)'!G104</f>
        <v>8661678.8000000007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53095.77</v>
      </c>
      <c r="Q97">
        <f>'Formato 6 a)'!C105</f>
        <v>-18855.45</v>
      </c>
      <c r="R97">
        <f>'Formato 6 a)'!D105</f>
        <v>34240.32</v>
      </c>
      <c r="S97">
        <f>'Formato 6 a)'!E105</f>
        <v>0</v>
      </c>
      <c r="T97">
        <f>'Formato 6 a)'!F105</f>
        <v>34240.32</v>
      </c>
      <c r="U97">
        <f>'Formato 6 a)'!G105</f>
        <v>34240.32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5994576.9800000004</v>
      </c>
      <c r="Q98">
        <f>'Formato 6 a)'!C106</f>
        <v>-77230.540000000037</v>
      </c>
      <c r="R98">
        <f>'Formato 6 a)'!D106</f>
        <v>5917346.4400000004</v>
      </c>
      <c r="S98">
        <f>'Formato 6 a)'!E106</f>
        <v>0</v>
      </c>
      <c r="T98">
        <f>'Formato 6 a)'!F106</f>
        <v>4522624.6399999997</v>
      </c>
      <c r="U98">
        <f>'Formato 6 a)'!G106</f>
        <v>5917346.4400000004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5000</v>
      </c>
      <c r="Q99">
        <f>'Formato 6 a)'!C107</f>
        <v>-2622</v>
      </c>
      <c r="R99">
        <f>'Formato 6 a)'!D107</f>
        <v>2378</v>
      </c>
      <c r="S99">
        <f>'Formato 6 a)'!E107</f>
        <v>0</v>
      </c>
      <c r="T99">
        <f>'Formato 6 a)'!F107</f>
        <v>2378</v>
      </c>
      <c r="U99">
        <f>'Formato 6 a)'!G107</f>
        <v>2378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284956.3</v>
      </c>
      <c r="Q100">
        <f>'Formato 6 a)'!C108</f>
        <v>-32068.150000000023</v>
      </c>
      <c r="R100">
        <f>'Formato 6 a)'!D108</f>
        <v>252888.15</v>
      </c>
      <c r="S100">
        <f>'Formato 6 a)'!E108</f>
        <v>0</v>
      </c>
      <c r="T100">
        <f>'Formato 6 a)'!F108</f>
        <v>252888.15</v>
      </c>
      <c r="U100">
        <f>'Formato 6 a)'!G108</f>
        <v>252888.15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120000</v>
      </c>
      <c r="Q101">
        <f>'Formato 6 a)'!C109</f>
        <v>-120000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55000</v>
      </c>
      <c r="Q102">
        <f>'Formato 6 a)'!C110</f>
        <v>-29717.789999999994</v>
      </c>
      <c r="R102">
        <f>'Formato 6 a)'!D110</f>
        <v>25282.21</v>
      </c>
      <c r="S102">
        <f>'Formato 6 a)'!E110</f>
        <v>0</v>
      </c>
      <c r="T102">
        <f>'Formato 6 a)'!F110</f>
        <v>25282.21</v>
      </c>
      <c r="U102">
        <f>'Formato 6 a)'!G110</f>
        <v>25282.21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732065.49</v>
      </c>
      <c r="Q104">
        <f>'Formato 6 a)'!C112</f>
        <v>-32518.570000000007</v>
      </c>
      <c r="R104">
        <f>'Formato 6 a)'!D112</f>
        <v>699546.92</v>
      </c>
      <c r="S104">
        <f>'Formato 6 a)'!E112</f>
        <v>0</v>
      </c>
      <c r="T104">
        <f>'Formato 6 a)'!F112</f>
        <v>699546.92</v>
      </c>
      <c r="U104">
        <f>'Formato 6 a)'!G112</f>
        <v>699546.92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41276719</v>
      </c>
      <c r="Q105">
        <f>'Formato 6 a)'!C113</f>
        <v>1732612.8900000001</v>
      </c>
      <c r="R105">
        <f>'Formato 6 a)'!D113</f>
        <v>43009331.890000001</v>
      </c>
      <c r="S105">
        <f>'Formato 6 a)'!E113</f>
        <v>255206.76</v>
      </c>
      <c r="T105">
        <f>'Formato 6 a)'!F113</f>
        <v>36051521.5</v>
      </c>
      <c r="U105">
        <f>'Formato 6 a)'!G113</f>
        <v>42754125.129999995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10550000</v>
      </c>
      <c r="Q106">
        <f>'Formato 6 a)'!C114</f>
        <v>0</v>
      </c>
      <c r="R106">
        <f>'Formato 6 a)'!D114</f>
        <v>10550000</v>
      </c>
      <c r="S106">
        <f>'Formato 6 a)'!E114</f>
        <v>0</v>
      </c>
      <c r="T106">
        <f>'Formato 6 a)'!F114</f>
        <v>10550000</v>
      </c>
      <c r="U106">
        <f>'Formato 6 a)'!G114</f>
        <v>10550000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4106719</v>
      </c>
      <c r="Q108">
        <f>'Formato 6 a)'!C116</f>
        <v>-3356718.9999999995</v>
      </c>
      <c r="R108">
        <f>'Formato 6 a)'!D116</f>
        <v>750000</v>
      </c>
      <c r="S108">
        <f>'Formato 6 a)'!E116</f>
        <v>0</v>
      </c>
      <c r="T108">
        <f>'Formato 6 a)'!F116</f>
        <v>750000</v>
      </c>
      <c r="U108">
        <f>'Formato 6 a)'!G116</f>
        <v>750000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26620000</v>
      </c>
      <c r="Q109">
        <f>'Formato 6 a)'!C117</f>
        <v>5089331.8899999997</v>
      </c>
      <c r="R109">
        <f>'Formato 6 a)'!D117</f>
        <v>31709331.890000001</v>
      </c>
      <c r="S109">
        <f>'Formato 6 a)'!E117</f>
        <v>255206.76</v>
      </c>
      <c r="T109">
        <f>'Formato 6 a)'!F117</f>
        <v>24751521.5</v>
      </c>
      <c r="U109">
        <f>'Formato 6 a)'!G117</f>
        <v>31454125.129999999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754022.05999999994</v>
      </c>
      <c r="Q115">
        <f>'Formato 6 a)'!C123</f>
        <v>10056954.15</v>
      </c>
      <c r="R115">
        <f>'Formato 6 a)'!D123</f>
        <v>10810976.210000001</v>
      </c>
      <c r="S115">
        <f>'Formato 6 a)'!E123</f>
        <v>0</v>
      </c>
      <c r="T115">
        <f>'Formato 6 a)'!F123</f>
        <v>10565165.219999999</v>
      </c>
      <c r="U115">
        <f>'Formato 6 a)'!G123</f>
        <v>10810976.210000001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222755.98</v>
      </c>
      <c r="Q116">
        <f>'Formato 6 a)'!C124</f>
        <v>498854.16000000003</v>
      </c>
      <c r="R116">
        <f>'Formato 6 a)'!D124</f>
        <v>721610.14</v>
      </c>
      <c r="S116">
        <f>'Formato 6 a)'!E124</f>
        <v>0</v>
      </c>
      <c r="T116">
        <f>'Formato 6 a)'!F124</f>
        <v>536245.91</v>
      </c>
      <c r="U116">
        <f>'Formato 6 a)'!G124</f>
        <v>721610.14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379999.98</v>
      </c>
      <c r="Q117">
        <f>'Formato 6 a)'!C125</f>
        <v>-379999.98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84266.1</v>
      </c>
      <c r="Q118">
        <f>'Formato 6 a)'!C126</f>
        <v>-50046.1</v>
      </c>
      <c r="R118">
        <f>'Formato 6 a)'!D126</f>
        <v>34220</v>
      </c>
      <c r="S118">
        <f>'Formato 6 a)'!E126</f>
        <v>0</v>
      </c>
      <c r="T118">
        <f>'Formato 6 a)'!F126</f>
        <v>34220</v>
      </c>
      <c r="U118">
        <f>'Formato 6 a)'!G126</f>
        <v>34220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7435814.4900000002</v>
      </c>
      <c r="R119">
        <f>'Formato 6 a)'!D127</f>
        <v>7435814.4900000002</v>
      </c>
      <c r="S119">
        <f>'Formato 6 a)'!E127</f>
        <v>0</v>
      </c>
      <c r="T119">
        <f>'Formato 6 a)'!F127</f>
        <v>7376407.7599999998</v>
      </c>
      <c r="U119">
        <f>'Formato 6 a)'!G127</f>
        <v>7435814.4900000002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49000</v>
      </c>
      <c r="Q121">
        <f>'Formato 6 a)'!C129</f>
        <v>2567131.58</v>
      </c>
      <c r="R121">
        <f>'Formato 6 a)'!D129</f>
        <v>2616131.58</v>
      </c>
      <c r="S121">
        <f>'Formato 6 a)'!E129</f>
        <v>0</v>
      </c>
      <c r="T121">
        <f>'Formato 6 a)'!F129</f>
        <v>2615931.5499999998</v>
      </c>
      <c r="U121">
        <f>'Formato 6 a)'!G129</f>
        <v>2616131.58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18000</v>
      </c>
      <c r="Q124">
        <f>'Formato 6 a)'!C132</f>
        <v>-14800</v>
      </c>
      <c r="R124">
        <f>'Formato 6 a)'!D132</f>
        <v>3200</v>
      </c>
      <c r="S124">
        <f>'Formato 6 a)'!E132</f>
        <v>0</v>
      </c>
      <c r="T124">
        <f>'Formato 6 a)'!F132</f>
        <v>2360</v>
      </c>
      <c r="U124">
        <f>'Formato 6 a)'!G132</f>
        <v>3200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140613946</v>
      </c>
      <c r="Q125">
        <f>'Formato 6 a)'!C133</f>
        <v>33313244.620000005</v>
      </c>
      <c r="R125">
        <f>'Formato 6 a)'!D133</f>
        <v>173927190.62</v>
      </c>
      <c r="S125">
        <f>'Formato 6 a)'!E133</f>
        <v>0</v>
      </c>
      <c r="T125">
        <f>'Formato 6 a)'!F133</f>
        <v>127848034.95999999</v>
      </c>
      <c r="U125">
        <f>'Formato 6 a)'!G133</f>
        <v>173927190.62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136428960</v>
      </c>
      <c r="Q126">
        <f>'Formato 6 a)'!C134</f>
        <v>37498230.620000005</v>
      </c>
      <c r="R126">
        <f>'Formato 6 a)'!D134</f>
        <v>173927190.62</v>
      </c>
      <c r="S126">
        <f>'Formato 6 a)'!E134</f>
        <v>0</v>
      </c>
      <c r="T126">
        <f>'Formato 6 a)'!F134</f>
        <v>127848034.95999999</v>
      </c>
      <c r="U126">
        <f>'Formato 6 a)'!G134</f>
        <v>173927190.62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4184986</v>
      </c>
      <c r="Q127">
        <f>'Formato 6 a)'!C135</f>
        <v>-4184986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25" x14ac:dyDescent="0.4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ht="14.25" x14ac:dyDescent="0.4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ht="14.25" x14ac:dyDescent="0.4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5600000</v>
      </c>
      <c r="Q138">
        <f>'Formato 6 a)'!C146</f>
        <v>-1655793.31</v>
      </c>
      <c r="R138">
        <f>'Formato 6 a)'!D146</f>
        <v>3944206.69</v>
      </c>
      <c r="S138">
        <f>'Formato 6 a)'!E146</f>
        <v>0</v>
      </c>
      <c r="T138">
        <f>'Formato 6 a)'!F146</f>
        <v>3944206.69</v>
      </c>
      <c r="U138">
        <f>'Formato 6 a)'!G146</f>
        <v>3944206.69</v>
      </c>
    </row>
    <row r="139" spans="1:21" ht="14.25" x14ac:dyDescent="0.4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ht="14.25" x14ac:dyDescent="0.4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ht="14.25" x14ac:dyDescent="0.4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5600000</v>
      </c>
      <c r="Q141">
        <f>'Formato 6 a)'!C149</f>
        <v>-1655793.31</v>
      </c>
      <c r="R141">
        <f>'Formato 6 a)'!D149</f>
        <v>3944206.69</v>
      </c>
      <c r="S141">
        <f>'Formato 6 a)'!E149</f>
        <v>0</v>
      </c>
      <c r="T141">
        <f>'Formato 6 a)'!F149</f>
        <v>3944206.69</v>
      </c>
      <c r="U141">
        <f>'Formato 6 a)'!G149</f>
        <v>3944206.69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464299736.19000006</v>
      </c>
      <c r="Q150">
        <f>'Formato 6 a)'!C159</f>
        <v>92839875.649999991</v>
      </c>
      <c r="R150">
        <f>'Formato 6 a)'!D159</f>
        <v>557139611.84000003</v>
      </c>
      <c r="S150">
        <f>'Formato 6 a)'!E159</f>
        <v>3264635.8599999994</v>
      </c>
      <c r="T150">
        <f>'Formato 6 a)'!F159</f>
        <v>440200648.38</v>
      </c>
      <c r="U150">
        <f>'Formato 6 a)'!G159</f>
        <v>553874975.98000002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31"/>
  <sheetViews>
    <sheetView showGridLines="0" view="pageBreakPreview" zoomScale="90" zoomScaleNormal="90" zoomScaleSheetLayoutView="90" workbookViewId="0">
      <selection activeCell="A5" sqref="A5:G5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205844470.19000003</v>
      </c>
      <c r="C9" s="59">
        <f>SUM(C10:GASTO_NE_FIN_02)</f>
        <v>53374170.00999999</v>
      </c>
      <c r="D9" s="59">
        <f>SUM(D10:GASTO_NE_FIN_03)</f>
        <v>259218640.19999999</v>
      </c>
      <c r="E9" s="59">
        <f>SUM(E10:GASTO_NE_FIN_04)</f>
        <v>3009429.0999999996</v>
      </c>
      <c r="F9" s="59">
        <f>SUM(F10:GASTO_NE_FIN_05)</f>
        <v>196988043.04000002</v>
      </c>
      <c r="G9" s="59">
        <f>SUM(G10:GASTO_NE_FIN_06)</f>
        <v>256209211.09999999</v>
      </c>
    </row>
    <row r="10" spans="1:7" s="24" customFormat="1" x14ac:dyDescent="0.25">
      <c r="A10" s="144" t="s">
        <v>432</v>
      </c>
      <c r="B10" s="60">
        <v>205844470.19000003</v>
      </c>
      <c r="C10" s="60">
        <v>53374170.00999999</v>
      </c>
      <c r="D10" s="60">
        <v>259218640.19999999</v>
      </c>
      <c r="E10" s="60">
        <v>3009429.0999999996</v>
      </c>
      <c r="F10" s="60">
        <v>196988043.04000002</v>
      </c>
      <c r="G10" s="77">
        <f>D10-E10</f>
        <v>256209211.09999999</v>
      </c>
    </row>
    <row r="11" spans="1:7" s="24" customFormat="1" ht="14.25" x14ac:dyDescent="0.45">
      <c r="A11" s="144" t="s">
        <v>433</v>
      </c>
      <c r="B11" s="60"/>
      <c r="C11" s="60"/>
      <c r="D11" s="60"/>
      <c r="E11" s="60"/>
      <c r="F11" s="60"/>
      <c r="G11" s="77">
        <f t="shared" ref="G11:G17" si="0">D11-E11</f>
        <v>0</v>
      </c>
    </row>
    <row r="12" spans="1:7" s="24" customFormat="1" ht="14.25" x14ac:dyDescent="0.45">
      <c r="A12" s="144" t="s">
        <v>434</v>
      </c>
      <c r="B12" s="60"/>
      <c r="C12" s="60"/>
      <c r="D12" s="60"/>
      <c r="E12" s="60"/>
      <c r="F12" s="60"/>
      <c r="G12" s="77">
        <f t="shared" si="0"/>
        <v>0</v>
      </c>
    </row>
    <row r="13" spans="1:7" s="24" customFormat="1" ht="14.25" x14ac:dyDescent="0.45">
      <c r="A13" s="144" t="s">
        <v>435</v>
      </c>
      <c r="B13" s="60"/>
      <c r="C13" s="60"/>
      <c r="D13" s="60"/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258455266</v>
      </c>
      <c r="C19" s="61">
        <f>SUM(C20:GASTO_E_FIN_02)</f>
        <v>39465705.640000001</v>
      </c>
      <c r="D19" s="61">
        <f>SUM(D20:GASTO_E_FIN_03)</f>
        <v>297920971.64000005</v>
      </c>
      <c r="E19" s="61">
        <f>SUM(E20:GASTO_E_FIN_04)</f>
        <v>255206.76</v>
      </c>
      <c r="F19" s="61">
        <f>SUM(F20:GASTO_E_FIN_05)</f>
        <v>243212605.33999997</v>
      </c>
      <c r="G19" s="61">
        <f>SUM(G20:GASTO_E_FIN_06)</f>
        <v>297665764.88000005</v>
      </c>
    </row>
    <row r="20" spans="1:7" s="24" customFormat="1" x14ac:dyDescent="0.25">
      <c r="A20" s="144" t="s">
        <v>432</v>
      </c>
      <c r="B20" s="60">
        <v>258455266</v>
      </c>
      <c r="C20" s="60">
        <v>39465705.640000001</v>
      </c>
      <c r="D20" s="60">
        <v>297920971.64000005</v>
      </c>
      <c r="E20" s="60">
        <v>255206.76</v>
      </c>
      <c r="F20" s="60">
        <v>243212605.33999997</v>
      </c>
      <c r="G20" s="60">
        <f>D20-E20</f>
        <v>297665764.88000005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ht="14.25" x14ac:dyDescent="0.4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ht="14.25" x14ac:dyDescent="0.4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ht="14.25" x14ac:dyDescent="0.4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ht="14.25" x14ac:dyDescent="0.4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ht="14.25" x14ac:dyDescent="0.45">
      <c r="A28" s="76" t="s">
        <v>686</v>
      </c>
      <c r="B28" s="54"/>
      <c r="C28" s="54"/>
      <c r="D28" s="54"/>
      <c r="E28" s="54"/>
      <c r="F28" s="54"/>
      <c r="G28" s="54"/>
    </row>
    <row r="29" spans="1:7" ht="14.25" x14ac:dyDescent="0.45">
      <c r="A29" s="55" t="s">
        <v>360</v>
      </c>
      <c r="B29" s="61">
        <f>GASTO_NE_T1+GASTO_E_T1</f>
        <v>464299736.19000006</v>
      </c>
      <c r="C29" s="61">
        <f>GASTO_NE_T2+GASTO_E_T2</f>
        <v>92839875.649999991</v>
      </c>
      <c r="D29" s="61">
        <f>GASTO_NE_T3+GASTO_E_T3</f>
        <v>557139611.84000003</v>
      </c>
      <c r="E29" s="61">
        <f>GASTO_NE_T4+GASTO_E_T4</f>
        <v>3264635.8599999994</v>
      </c>
      <c r="F29" s="61">
        <f>GASTO_NE_T5+GASTO_E_T5</f>
        <v>440200648.38</v>
      </c>
      <c r="G29" s="61">
        <f>GASTO_NE_T6+GASTO_E_T6</f>
        <v>553874975.98000002</v>
      </c>
    </row>
    <row r="30" spans="1:7" ht="14.25" x14ac:dyDescent="0.4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205844470.19000003</v>
      </c>
      <c r="Q2" s="18">
        <f>GASTO_NE_T2</f>
        <v>53374170.00999999</v>
      </c>
      <c r="R2" s="18">
        <f>GASTO_NE_T3</f>
        <v>259218640.19999999</v>
      </c>
      <c r="S2" s="18">
        <f>GASTO_NE_T4</f>
        <v>3009429.0999999996</v>
      </c>
      <c r="T2" s="18">
        <f>GASTO_NE_T5</f>
        <v>196988043.04000002</v>
      </c>
      <c r="U2" s="18">
        <f>GASTO_NE_T6</f>
        <v>256209211.09999999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258455266</v>
      </c>
      <c r="Q3" s="18">
        <f>GASTO_E_T2</f>
        <v>39465705.640000001</v>
      </c>
      <c r="R3" s="18">
        <f>GASTO_E_T3</f>
        <v>297920971.64000005</v>
      </c>
      <c r="S3" s="18">
        <f>GASTO_E_T4</f>
        <v>255206.76</v>
      </c>
      <c r="T3" s="18">
        <f>GASTO_E_T5</f>
        <v>243212605.33999997</v>
      </c>
      <c r="U3" s="18">
        <f>GASTO_E_T6</f>
        <v>297665764.88000005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464299736.19000006</v>
      </c>
      <c r="Q4" s="18">
        <f>TOTAL_E_T2</f>
        <v>92839875.649999991</v>
      </c>
      <c r="R4" s="18">
        <f>TOTAL_E_T3</f>
        <v>557139611.84000003</v>
      </c>
      <c r="S4" s="18">
        <f>TOTAL_E_T4</f>
        <v>3264635.8599999994</v>
      </c>
      <c r="T4" s="18">
        <f>TOTAL_E_T5</f>
        <v>440200648.38</v>
      </c>
      <c r="U4" s="18">
        <f>TOTAL_E_T6</f>
        <v>553874975.98000002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ht="14.25" x14ac:dyDescent="0.45">
      <c r="A30" s="3"/>
      <c r="P30" s="18"/>
      <c r="Q30" s="18"/>
      <c r="R30" s="18"/>
      <c r="S30" s="18"/>
      <c r="T30" s="18"/>
      <c r="U30" s="18"/>
    </row>
    <row r="31" spans="1:21" ht="14.25" x14ac:dyDescent="0.45">
      <c r="A31" s="3"/>
      <c r="P31" s="18"/>
      <c r="Q31" s="18"/>
      <c r="R31" s="18"/>
      <c r="S31" s="18"/>
      <c r="T31" s="18"/>
      <c r="U31" s="18"/>
    </row>
    <row r="32" spans="1:21" ht="14.25" x14ac:dyDescent="0.45">
      <c r="A32" s="3"/>
      <c r="P32" s="18"/>
      <c r="Q32" s="18"/>
      <c r="R32" s="18"/>
      <c r="S32" s="18"/>
      <c r="T32" s="18"/>
      <c r="U32" s="18"/>
    </row>
    <row r="33" spans="1:21" ht="14.25" x14ac:dyDescent="0.45">
      <c r="A33" s="3"/>
      <c r="P33" s="18"/>
      <c r="Q33" s="18"/>
      <c r="R33" s="18"/>
      <c r="S33" s="18"/>
      <c r="T33" s="18"/>
      <c r="U33" s="18"/>
    </row>
    <row r="34" spans="1:21" ht="14.25" x14ac:dyDescent="0.45">
      <c r="A34" s="3"/>
      <c r="P34" s="18"/>
      <c r="Q34" s="18"/>
      <c r="R34" s="18"/>
      <c r="S34" s="18"/>
      <c r="T34" s="18"/>
      <c r="U34" s="18"/>
    </row>
    <row r="35" spans="1:21" ht="14.25" x14ac:dyDescent="0.4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view="pageBreakPreview" zoomScale="70" zoomScaleNormal="90" zoomScaleSheetLayoutView="70" workbookViewId="0">
      <selection activeCell="A5" sqref="A5:G5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205844470.19</v>
      </c>
      <c r="C9" s="70">
        <f t="shared" ref="C9:G9" si="0">SUM(C10,C19,C27,C37)</f>
        <v>53374170.009999998</v>
      </c>
      <c r="D9" s="70">
        <f t="shared" si="0"/>
        <v>259218640.20000002</v>
      </c>
      <c r="E9" s="70">
        <f t="shared" si="0"/>
        <v>3009429.0999999996</v>
      </c>
      <c r="F9" s="70">
        <f t="shared" si="0"/>
        <v>196988043.03999999</v>
      </c>
      <c r="G9" s="70">
        <f t="shared" si="0"/>
        <v>256209211.09999999</v>
      </c>
    </row>
    <row r="10" spans="1:7" ht="14.25" x14ac:dyDescent="0.45">
      <c r="A10" s="53" t="s">
        <v>364</v>
      </c>
      <c r="B10" s="71">
        <f>SUM(B11:B18)</f>
        <v>91217487.170000002</v>
      </c>
      <c r="C10" s="71">
        <f t="shared" ref="C10:F10" si="1">SUM(C11:C18)</f>
        <v>-13053886.489999998</v>
      </c>
      <c r="D10" s="71">
        <f t="shared" si="1"/>
        <v>78163600.680000007</v>
      </c>
      <c r="E10" s="71">
        <f t="shared" si="1"/>
        <v>1012925.45</v>
      </c>
      <c r="F10" s="71">
        <f t="shared" si="1"/>
        <v>61940195.519999996</v>
      </c>
      <c r="G10" s="71">
        <f>SUM(G11:G18)</f>
        <v>77150675.230000004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1162073.6199999999</v>
      </c>
      <c r="C12" s="72">
        <v>-27082.449999999997</v>
      </c>
      <c r="D12" s="72">
        <v>1134991.17</v>
      </c>
      <c r="E12" s="72">
        <v>21311.37</v>
      </c>
      <c r="F12" s="72">
        <v>826363.54</v>
      </c>
      <c r="G12" s="72">
        <f t="shared" ref="G12:G18" si="2">D12-E12</f>
        <v>1113679.7999999998</v>
      </c>
    </row>
    <row r="13" spans="1:7" x14ac:dyDescent="0.25">
      <c r="A13" s="63" t="s">
        <v>367</v>
      </c>
      <c r="B13" s="72">
        <v>51105691.200000003</v>
      </c>
      <c r="C13" s="72">
        <v>618221.76999999955</v>
      </c>
      <c r="D13" s="72">
        <v>51723912.969999999</v>
      </c>
      <c r="E13" s="72">
        <v>749854.03999999992</v>
      </c>
      <c r="F13" s="72">
        <v>44680333.129999995</v>
      </c>
      <c r="G13" s="72">
        <f t="shared" si="2"/>
        <v>50974058.93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25888900.800000001</v>
      </c>
      <c r="C15" s="72">
        <v>-13279277.649999999</v>
      </c>
      <c r="D15" s="72">
        <v>12609623.15</v>
      </c>
      <c r="E15" s="72">
        <v>205810.51</v>
      </c>
      <c r="F15" s="72">
        <v>6043673.7199999997</v>
      </c>
      <c r="G15" s="72">
        <f t="shared" si="2"/>
        <v>12403812.640000001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13060821.549999999</v>
      </c>
      <c r="C18" s="72">
        <v>-365748.16000000003</v>
      </c>
      <c r="D18" s="72">
        <v>12695073.390000001</v>
      </c>
      <c r="E18" s="72">
        <v>35949.53</v>
      </c>
      <c r="F18" s="72">
        <v>10389825.130000001</v>
      </c>
      <c r="G18" s="72">
        <f t="shared" si="2"/>
        <v>12659123.860000001</v>
      </c>
    </row>
    <row r="19" spans="1:7" ht="14.25" x14ac:dyDescent="0.45">
      <c r="A19" s="53" t="s">
        <v>373</v>
      </c>
      <c r="B19" s="71">
        <f>SUM(B20:B26)</f>
        <v>102794159.84</v>
      </c>
      <c r="C19" s="71">
        <f t="shared" ref="C19:F19" si="3">SUM(C20:C26)</f>
        <v>70617686.36999999</v>
      </c>
      <c r="D19" s="71">
        <f t="shared" si="3"/>
        <v>173411846.21000001</v>
      </c>
      <c r="E19" s="71">
        <f t="shared" si="3"/>
        <v>1629301.3099999998</v>
      </c>
      <c r="F19" s="71">
        <f t="shared" si="3"/>
        <v>128950281.39999999</v>
      </c>
      <c r="G19" s="71">
        <f>SUM(G20:G26)</f>
        <v>171782544.89999998</v>
      </c>
    </row>
    <row r="20" spans="1:7" x14ac:dyDescent="0.25">
      <c r="A20" s="63" t="s">
        <v>374</v>
      </c>
      <c r="B20" s="71">
        <v>5849926.1399999997</v>
      </c>
      <c r="C20" s="71">
        <v>736390.89</v>
      </c>
      <c r="D20" s="71">
        <v>6586317.0300000003</v>
      </c>
      <c r="E20" s="71">
        <v>131192.04999999999</v>
      </c>
      <c r="F20" s="71">
        <v>5847626.5800000001</v>
      </c>
      <c r="G20" s="72">
        <f>D20-E20</f>
        <v>6455124.9800000004</v>
      </c>
    </row>
    <row r="21" spans="1:7" x14ac:dyDescent="0.25">
      <c r="A21" s="63" t="s">
        <v>375</v>
      </c>
      <c r="B21" s="71">
        <v>85329199.829999998</v>
      </c>
      <c r="C21" s="71">
        <v>69405863.769999996</v>
      </c>
      <c r="D21" s="71">
        <v>154735063.59999999</v>
      </c>
      <c r="E21" s="71">
        <v>1274391.1299999999</v>
      </c>
      <c r="F21" s="71">
        <v>113633545.41</v>
      </c>
      <c r="G21" s="72">
        <f t="shared" ref="G21:G26" si="4">D21-E21</f>
        <v>153460672.47</v>
      </c>
    </row>
    <row r="22" spans="1:7" x14ac:dyDescent="0.25">
      <c r="A22" s="63" t="s">
        <v>376</v>
      </c>
      <c r="B22" s="71">
        <v>641363.67000000004</v>
      </c>
      <c r="C22" s="71">
        <v>1373887.6600000001</v>
      </c>
      <c r="D22" s="71">
        <v>2015251.33</v>
      </c>
      <c r="E22" s="71">
        <v>23746.05</v>
      </c>
      <c r="F22" s="71">
        <v>755372.44</v>
      </c>
      <c r="G22" s="72">
        <f t="shared" si="4"/>
        <v>1991505.28</v>
      </c>
    </row>
    <row r="23" spans="1:7" x14ac:dyDescent="0.25">
      <c r="A23" s="63" t="s">
        <v>377</v>
      </c>
      <c r="B23" s="71">
        <v>6976516.9399999995</v>
      </c>
      <c r="C23" s="71">
        <v>-472051.14</v>
      </c>
      <c r="D23" s="71">
        <v>6504465.7999999998</v>
      </c>
      <c r="E23" s="71">
        <v>112919.19</v>
      </c>
      <c r="F23" s="71">
        <v>5407173.9299999997</v>
      </c>
      <c r="G23" s="72">
        <f t="shared" si="4"/>
        <v>6391546.6099999994</v>
      </c>
    </row>
    <row r="24" spans="1:7" x14ac:dyDescent="0.25">
      <c r="A24" s="63" t="s">
        <v>378</v>
      </c>
      <c r="B24" s="71">
        <v>3997153.26</v>
      </c>
      <c r="C24" s="71">
        <v>-426404.81</v>
      </c>
      <c r="D24" s="71">
        <v>3570748.45</v>
      </c>
      <c r="E24" s="71">
        <v>87052.89</v>
      </c>
      <c r="F24" s="71">
        <v>3306563.04</v>
      </c>
      <c r="G24" s="72">
        <f t="shared" si="4"/>
        <v>3483695.56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11832823.18</v>
      </c>
      <c r="C27" s="71">
        <f t="shared" ref="C27:F27" si="5">SUM(C28:C36)</f>
        <v>-4189629.8699999996</v>
      </c>
      <c r="D27" s="71">
        <f t="shared" si="5"/>
        <v>7643193.3099999996</v>
      </c>
      <c r="E27" s="71">
        <f t="shared" si="5"/>
        <v>367202.34</v>
      </c>
      <c r="F27" s="71">
        <f t="shared" si="5"/>
        <v>6097566.1200000001</v>
      </c>
      <c r="G27" s="71">
        <f>SUM(G28:G36)</f>
        <v>7275990.9699999997</v>
      </c>
    </row>
    <row r="28" spans="1:7" x14ac:dyDescent="0.25">
      <c r="A28" s="69" t="s">
        <v>382</v>
      </c>
      <c r="B28" s="71">
        <v>11832823.18</v>
      </c>
      <c r="C28" s="71">
        <v>-4189629.8699999996</v>
      </c>
      <c r="D28" s="71">
        <v>7643193.3099999996</v>
      </c>
      <c r="E28" s="71">
        <v>367202.34</v>
      </c>
      <c r="F28" s="71">
        <v>6097566.1200000001</v>
      </c>
      <c r="G28" s="72">
        <f>D28-E28</f>
        <v>7275990.9699999997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x14ac:dyDescent="0.2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258455266</v>
      </c>
      <c r="C43" s="73">
        <f t="shared" ref="C43:G43" si="9">SUM(C44,C53,C61,C71)</f>
        <v>39465705.640000001</v>
      </c>
      <c r="D43" s="73">
        <f t="shared" si="9"/>
        <v>297920971.63999999</v>
      </c>
      <c r="E43" s="73">
        <f t="shared" si="9"/>
        <v>255206.76</v>
      </c>
      <c r="F43" s="73">
        <f t="shared" si="9"/>
        <v>243212605.33999997</v>
      </c>
      <c r="G43" s="73">
        <f t="shared" si="9"/>
        <v>201767901.95999998</v>
      </c>
    </row>
    <row r="44" spans="1:7" x14ac:dyDescent="0.25">
      <c r="A44" s="53" t="s">
        <v>430</v>
      </c>
      <c r="B44" s="72">
        <f>SUM(B45:B52)</f>
        <v>70046321.400000006</v>
      </c>
      <c r="C44" s="72">
        <f t="shared" ref="C44:G44" si="10">SUM(C45:C52)</f>
        <v>-549506.55000000098</v>
      </c>
      <c r="D44" s="72">
        <f t="shared" si="10"/>
        <v>69496814.849999994</v>
      </c>
      <c r="E44" s="72">
        <f t="shared" si="10"/>
        <v>0</v>
      </c>
      <c r="F44" s="72">
        <f t="shared" si="10"/>
        <v>69181231.290000007</v>
      </c>
      <c r="G44" s="72">
        <f t="shared" si="10"/>
        <v>63504386.769999996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1">D46-E46</f>
        <v>0</v>
      </c>
    </row>
    <row r="47" spans="1:7" x14ac:dyDescent="0.25">
      <c r="A47" s="69" t="s">
        <v>367</v>
      </c>
      <c r="B47" s="72">
        <v>10550000</v>
      </c>
      <c r="C47" s="72">
        <v>0</v>
      </c>
      <c r="D47" s="72">
        <v>10550000</v>
      </c>
      <c r="E47" s="72">
        <v>0</v>
      </c>
      <c r="F47" s="72">
        <v>10550000</v>
      </c>
      <c r="G47" s="72">
        <v>4200000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1"/>
        <v>0</v>
      </c>
    </row>
    <row r="49" spans="1:7" x14ac:dyDescent="0.25">
      <c r="A49" s="69" t="s">
        <v>369</v>
      </c>
      <c r="B49" s="72">
        <v>0</v>
      </c>
      <c r="C49" s="72">
        <v>9712.15</v>
      </c>
      <c r="D49" s="72">
        <v>9712.15</v>
      </c>
      <c r="E49" s="72">
        <v>0</v>
      </c>
      <c r="F49" s="72">
        <v>9712.15</v>
      </c>
      <c r="G49" s="72">
        <v>2580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1"/>
        <v>0</v>
      </c>
    </row>
    <row r="51" spans="1:7" x14ac:dyDescent="0.25">
      <c r="A51" s="69" t="s">
        <v>371</v>
      </c>
      <c r="B51" s="72">
        <v>59496321.400000006</v>
      </c>
      <c r="C51" s="72">
        <v>-559218.700000001</v>
      </c>
      <c r="D51" s="72">
        <v>58937102.699999996</v>
      </c>
      <c r="E51" s="72">
        <v>0</v>
      </c>
      <c r="F51" s="72">
        <v>58621519.140000001</v>
      </c>
      <c r="G51" s="72">
        <v>59301806.769999996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1"/>
        <v>0</v>
      </c>
    </row>
    <row r="53" spans="1:7" x14ac:dyDescent="0.25">
      <c r="A53" s="53" t="s">
        <v>373</v>
      </c>
      <c r="B53" s="71">
        <f>SUM(B54:B60)</f>
        <v>188408944.59999999</v>
      </c>
      <c r="C53" s="71">
        <f t="shared" ref="C53:G53" si="12">SUM(C54:C60)</f>
        <v>40015212.190000005</v>
      </c>
      <c r="D53" s="71">
        <f t="shared" si="12"/>
        <v>228424156.78999999</v>
      </c>
      <c r="E53" s="71">
        <f t="shared" si="12"/>
        <v>255206.76</v>
      </c>
      <c r="F53" s="71">
        <f t="shared" si="12"/>
        <v>174031374.04999998</v>
      </c>
      <c r="G53" s="71">
        <f t="shared" si="12"/>
        <v>138263515.19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186908944.59999999</v>
      </c>
      <c r="C55" s="71">
        <v>40018912.190000005</v>
      </c>
      <c r="D55" s="71">
        <v>226927856.78999999</v>
      </c>
      <c r="E55" s="71">
        <v>255206.76</v>
      </c>
      <c r="F55" s="71">
        <v>172535074.04999998</v>
      </c>
      <c r="G55" s="72">
        <v>136763815.19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ref="G56:G60" si="13">D56-E56</f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3"/>
        <v>0</v>
      </c>
    </row>
    <row r="58" spans="1:7" x14ac:dyDescent="0.25">
      <c r="A58" s="69" t="s">
        <v>378</v>
      </c>
      <c r="B58" s="71">
        <v>1500000</v>
      </c>
      <c r="C58" s="71">
        <v>-3700</v>
      </c>
      <c r="D58" s="71">
        <v>1496300</v>
      </c>
      <c r="E58" s="71">
        <v>0</v>
      </c>
      <c r="F58" s="71">
        <v>1496300</v>
      </c>
      <c r="G58" s="72">
        <v>1499700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3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464299736.19</v>
      </c>
      <c r="C77" s="73">
        <f t="shared" ref="C77:F77" si="18">C43+C9</f>
        <v>92839875.650000006</v>
      </c>
      <c r="D77" s="73">
        <f t="shared" si="18"/>
        <v>557139611.84000003</v>
      </c>
      <c r="E77" s="73">
        <f t="shared" si="18"/>
        <v>3264635.8599999994</v>
      </c>
      <c r="F77" s="73">
        <f t="shared" si="18"/>
        <v>440200648.38</v>
      </c>
      <c r="G77" s="73">
        <f>G43+G9</f>
        <v>457977113.05999994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verticalDpi="360" r:id="rId1"/>
  <rowBreaks count="1" manualBreakCount="1">
    <brk id="4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205844470.19</v>
      </c>
      <c r="Q2" s="18">
        <f>'Formato 6 c)'!C9</f>
        <v>53374170.009999998</v>
      </c>
      <c r="R2" s="18">
        <f>'Formato 6 c)'!D9</f>
        <v>259218640.20000002</v>
      </c>
      <c r="S2" s="18">
        <f>'Formato 6 c)'!E9</f>
        <v>3009429.0999999996</v>
      </c>
      <c r="T2" s="18">
        <f>'Formato 6 c)'!F9</f>
        <v>196988043.03999999</v>
      </c>
      <c r="U2" s="18">
        <f>'Formato 6 c)'!G9</f>
        <v>256209211.09999999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91217487.170000002</v>
      </c>
      <c r="Q3" s="18">
        <f>'Formato 6 c)'!C10</f>
        <v>-13053886.489999998</v>
      </c>
      <c r="R3" s="18">
        <f>'Formato 6 c)'!D10</f>
        <v>78163600.680000007</v>
      </c>
      <c r="S3" s="18">
        <f>'Formato 6 c)'!E10</f>
        <v>1012925.45</v>
      </c>
      <c r="T3" s="18">
        <f>'Formato 6 c)'!F10</f>
        <v>61940195.519999996</v>
      </c>
      <c r="U3" s="18">
        <f>'Formato 6 c)'!G10</f>
        <v>77150675.230000004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1162073.6199999999</v>
      </c>
      <c r="Q5" s="18">
        <f>'Formato 6 c)'!C12</f>
        <v>-27082.449999999997</v>
      </c>
      <c r="R5" s="18">
        <f>'Formato 6 c)'!D12</f>
        <v>1134991.17</v>
      </c>
      <c r="S5" s="18">
        <f>'Formato 6 c)'!E12</f>
        <v>21311.37</v>
      </c>
      <c r="T5" s="18">
        <f>'Formato 6 c)'!F12</f>
        <v>826363.54</v>
      </c>
      <c r="U5" s="18">
        <f>'Formato 6 c)'!G12</f>
        <v>1113679.7999999998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51105691.200000003</v>
      </c>
      <c r="Q6" s="18">
        <f>'Formato 6 c)'!C13</f>
        <v>618221.76999999955</v>
      </c>
      <c r="R6" s="18">
        <f>'Formato 6 c)'!D13</f>
        <v>51723912.969999999</v>
      </c>
      <c r="S6" s="18">
        <f>'Formato 6 c)'!E13</f>
        <v>749854.03999999992</v>
      </c>
      <c r="T6" s="18">
        <f>'Formato 6 c)'!F13</f>
        <v>44680333.129999995</v>
      </c>
      <c r="U6" s="18">
        <f>'Formato 6 c)'!G13</f>
        <v>50974058.93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25888900.800000001</v>
      </c>
      <c r="Q8" s="18">
        <f>'Formato 6 c)'!C15</f>
        <v>-13279277.649999999</v>
      </c>
      <c r="R8" s="18">
        <f>'Formato 6 c)'!D15</f>
        <v>12609623.15</v>
      </c>
      <c r="S8" s="18">
        <f>'Formato 6 c)'!E15</f>
        <v>205810.51</v>
      </c>
      <c r="T8" s="18">
        <f>'Formato 6 c)'!F15</f>
        <v>6043673.7199999997</v>
      </c>
      <c r="U8" s="18">
        <f>'Formato 6 c)'!G15</f>
        <v>12403812.640000001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13060821.549999999</v>
      </c>
      <c r="Q11" s="18">
        <f>'Formato 6 c)'!C18</f>
        <v>-365748.16000000003</v>
      </c>
      <c r="R11" s="18">
        <f>'Formato 6 c)'!D18</f>
        <v>12695073.390000001</v>
      </c>
      <c r="S11" s="18">
        <f>'Formato 6 c)'!E18</f>
        <v>35949.53</v>
      </c>
      <c r="T11" s="18">
        <f>'Formato 6 c)'!F18</f>
        <v>10389825.130000001</v>
      </c>
      <c r="U11" s="18">
        <f>'Formato 6 c)'!G18</f>
        <v>12659123.860000001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102794159.84</v>
      </c>
      <c r="Q12" s="18">
        <f>'Formato 6 c)'!C19</f>
        <v>70617686.36999999</v>
      </c>
      <c r="R12" s="18">
        <f>'Formato 6 c)'!D19</f>
        <v>173411846.21000001</v>
      </c>
      <c r="S12" s="18">
        <f>'Formato 6 c)'!E19</f>
        <v>1629301.3099999998</v>
      </c>
      <c r="T12" s="18">
        <f>'Formato 6 c)'!F19</f>
        <v>128950281.39999999</v>
      </c>
      <c r="U12" s="18">
        <f>'Formato 6 c)'!G19</f>
        <v>171782544.89999998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5849926.1399999997</v>
      </c>
      <c r="Q13" s="18">
        <f>'Formato 6 c)'!C20</f>
        <v>736390.89</v>
      </c>
      <c r="R13" s="18">
        <f>'Formato 6 c)'!D20</f>
        <v>6586317.0300000003</v>
      </c>
      <c r="S13" s="18">
        <f>'Formato 6 c)'!E20</f>
        <v>131192.04999999999</v>
      </c>
      <c r="T13" s="18">
        <f>'Formato 6 c)'!F20</f>
        <v>5847626.5800000001</v>
      </c>
      <c r="U13" s="18">
        <f>'Formato 6 c)'!G20</f>
        <v>6455124.9800000004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85329199.829999998</v>
      </c>
      <c r="Q14" s="18">
        <f>'Formato 6 c)'!C21</f>
        <v>69405863.769999996</v>
      </c>
      <c r="R14" s="18">
        <f>'Formato 6 c)'!D21</f>
        <v>154735063.59999999</v>
      </c>
      <c r="S14" s="18">
        <f>'Formato 6 c)'!E21</f>
        <v>1274391.1299999999</v>
      </c>
      <c r="T14" s="18">
        <f>'Formato 6 c)'!F21</f>
        <v>113633545.41</v>
      </c>
      <c r="U14" s="18">
        <f>'Formato 6 c)'!G21</f>
        <v>153460672.47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641363.67000000004</v>
      </c>
      <c r="Q15" s="18">
        <f>'Formato 6 c)'!C22</f>
        <v>1373887.6600000001</v>
      </c>
      <c r="R15" s="18">
        <f>'Formato 6 c)'!D22</f>
        <v>2015251.33</v>
      </c>
      <c r="S15" s="18">
        <f>'Formato 6 c)'!E22</f>
        <v>23746.05</v>
      </c>
      <c r="T15" s="18">
        <f>'Formato 6 c)'!F22</f>
        <v>755372.44</v>
      </c>
      <c r="U15" s="18">
        <f>'Formato 6 c)'!G22</f>
        <v>1991505.28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6976516.9399999995</v>
      </c>
      <c r="Q16" s="18">
        <f>'Formato 6 c)'!C23</f>
        <v>-472051.14</v>
      </c>
      <c r="R16" s="18">
        <f>'Formato 6 c)'!D23</f>
        <v>6504465.7999999998</v>
      </c>
      <c r="S16" s="18">
        <f>'Formato 6 c)'!E23</f>
        <v>112919.19</v>
      </c>
      <c r="T16" s="18">
        <f>'Formato 6 c)'!F23</f>
        <v>5407173.9299999997</v>
      </c>
      <c r="U16" s="18">
        <f>'Formato 6 c)'!G23</f>
        <v>6391546.6099999994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3997153.26</v>
      </c>
      <c r="Q17" s="18">
        <f>'Formato 6 c)'!C24</f>
        <v>-426404.81</v>
      </c>
      <c r="R17" s="18">
        <f>'Formato 6 c)'!D24</f>
        <v>3570748.45</v>
      </c>
      <c r="S17" s="18">
        <f>'Formato 6 c)'!E24</f>
        <v>87052.89</v>
      </c>
      <c r="T17" s="18">
        <f>'Formato 6 c)'!F24</f>
        <v>3306563.04</v>
      </c>
      <c r="U17" s="18">
        <f>'Formato 6 c)'!G24</f>
        <v>3483695.56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11832823.18</v>
      </c>
      <c r="Q20" s="18">
        <f>'Formato 6 c)'!C27</f>
        <v>-4189629.8699999996</v>
      </c>
      <c r="R20" s="18">
        <f>'Formato 6 c)'!D27</f>
        <v>7643193.3099999996</v>
      </c>
      <c r="S20" s="18">
        <f>'Formato 6 c)'!E27</f>
        <v>367202.34</v>
      </c>
      <c r="T20" s="18">
        <f>'Formato 6 c)'!F27</f>
        <v>6097566.1200000001</v>
      </c>
      <c r="U20" s="18">
        <f>'Formato 6 c)'!G27</f>
        <v>7275990.9699999997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11832823.18</v>
      </c>
      <c r="Q21" s="18">
        <f>'Formato 6 c)'!C28</f>
        <v>-4189629.8699999996</v>
      </c>
      <c r="R21" s="18">
        <f>'Formato 6 c)'!D28</f>
        <v>7643193.3099999996</v>
      </c>
      <c r="S21" s="18">
        <f>'Formato 6 c)'!E28</f>
        <v>367202.34</v>
      </c>
      <c r="T21" s="18">
        <f>'Formato 6 c)'!F28</f>
        <v>6097566.1200000001</v>
      </c>
      <c r="U21" s="18">
        <f>'Formato 6 c)'!G28</f>
        <v>7275990.9699999997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25" x14ac:dyDescent="0.4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ht="14.25" x14ac:dyDescent="0.4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ht="14.25" x14ac:dyDescent="0.4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ht="14.25" x14ac:dyDescent="0.4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ht="14.25" x14ac:dyDescent="0.4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ht="14.25" x14ac:dyDescent="0.4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258455266</v>
      </c>
      <c r="Q35" s="18">
        <f>'Formato 6 c)'!C43</f>
        <v>39465705.640000001</v>
      </c>
      <c r="R35" s="18">
        <f>'Formato 6 c)'!D43</f>
        <v>297920971.63999999</v>
      </c>
      <c r="S35" s="18">
        <f>'Formato 6 c)'!E43</f>
        <v>255206.76</v>
      </c>
      <c r="T35" s="18">
        <f>'Formato 6 c)'!F43</f>
        <v>243212605.33999997</v>
      </c>
      <c r="U35" s="18">
        <f>'Formato 6 c)'!G43</f>
        <v>201767901.95999998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70046321.400000006</v>
      </c>
      <c r="Q36" s="18">
        <f>'Formato 6 c)'!C44</f>
        <v>-549506.55000000098</v>
      </c>
      <c r="R36" s="18">
        <f>'Formato 6 c)'!D44</f>
        <v>69496814.849999994</v>
      </c>
      <c r="S36" s="18">
        <f>'Formato 6 c)'!E44</f>
        <v>0</v>
      </c>
      <c r="T36" s="18">
        <f>'Formato 6 c)'!F44</f>
        <v>69181231.290000007</v>
      </c>
      <c r="U36" s="18">
        <f>'Formato 6 c)'!G44</f>
        <v>63504386.769999996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10550000</v>
      </c>
      <c r="Q39" s="18">
        <f>'Formato 6 c)'!C47</f>
        <v>0</v>
      </c>
      <c r="R39" s="18">
        <f>'Formato 6 c)'!D47</f>
        <v>10550000</v>
      </c>
      <c r="S39" s="18">
        <f>'Formato 6 c)'!E47</f>
        <v>0</v>
      </c>
      <c r="T39" s="18">
        <f>'Formato 6 c)'!F47</f>
        <v>10550000</v>
      </c>
      <c r="U39" s="18">
        <f>'Formato 6 c)'!G47</f>
        <v>4200000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9712.15</v>
      </c>
      <c r="R41" s="18">
        <f>'Formato 6 c)'!D49</f>
        <v>9712.15</v>
      </c>
      <c r="S41" s="18">
        <f>'Formato 6 c)'!E49</f>
        <v>0</v>
      </c>
      <c r="T41" s="18">
        <f>'Formato 6 c)'!F49</f>
        <v>9712.15</v>
      </c>
      <c r="U41" s="18">
        <f>'Formato 6 c)'!G49</f>
        <v>2580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59496321.400000006</v>
      </c>
      <c r="Q43" s="18">
        <f>'Formato 6 c)'!C51</f>
        <v>-559218.700000001</v>
      </c>
      <c r="R43" s="18">
        <f>'Formato 6 c)'!D51</f>
        <v>58937102.699999996</v>
      </c>
      <c r="S43" s="18">
        <f>'Formato 6 c)'!E51</f>
        <v>0</v>
      </c>
      <c r="T43" s="18">
        <f>'Formato 6 c)'!F51</f>
        <v>58621519.140000001</v>
      </c>
      <c r="U43" s="18">
        <f>'Formato 6 c)'!G51</f>
        <v>59301806.769999996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188408944.59999999</v>
      </c>
      <c r="Q45" s="18">
        <f>'Formato 6 c)'!C53</f>
        <v>40015212.190000005</v>
      </c>
      <c r="R45" s="18">
        <f>'Formato 6 c)'!D53</f>
        <v>228424156.78999999</v>
      </c>
      <c r="S45" s="18">
        <f>'Formato 6 c)'!E53</f>
        <v>255206.76</v>
      </c>
      <c r="T45" s="18">
        <f>'Formato 6 c)'!F53</f>
        <v>174031374.04999998</v>
      </c>
      <c r="U45" s="18">
        <f>'Formato 6 c)'!G53</f>
        <v>138263515.19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186908944.59999999</v>
      </c>
      <c r="Q47" s="18">
        <f>'Formato 6 c)'!C55</f>
        <v>40018912.190000005</v>
      </c>
      <c r="R47" s="18">
        <f>'Formato 6 c)'!D55</f>
        <v>226927856.78999999</v>
      </c>
      <c r="S47" s="18">
        <f>'Formato 6 c)'!E55</f>
        <v>255206.76</v>
      </c>
      <c r="T47" s="18">
        <f>'Formato 6 c)'!F55</f>
        <v>172535074.04999998</v>
      </c>
      <c r="U47" s="18">
        <f>'Formato 6 c)'!G55</f>
        <v>136763815.19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1500000</v>
      </c>
      <c r="Q50" s="18">
        <f>'Formato 6 c)'!C58</f>
        <v>-3700</v>
      </c>
      <c r="R50" s="18">
        <f>'Formato 6 c)'!D58</f>
        <v>1496300</v>
      </c>
      <c r="S50" s="18">
        <f>'Formato 6 c)'!E58</f>
        <v>0</v>
      </c>
      <c r="T50" s="18">
        <f>'Formato 6 c)'!F58</f>
        <v>1496300</v>
      </c>
      <c r="U50" s="18">
        <f>'Formato 6 c)'!G58</f>
        <v>1499700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464299736.19</v>
      </c>
      <c r="Q68" s="18">
        <f>'Formato 6 c)'!C77</f>
        <v>92839875.650000006</v>
      </c>
      <c r="R68" s="18">
        <f>'Formato 6 c)'!D77</f>
        <v>557139611.84000003</v>
      </c>
      <c r="S68" s="18">
        <f>'Formato 6 c)'!E77</f>
        <v>3264635.8599999994</v>
      </c>
      <c r="T68" s="18">
        <f>'Formato 6 c)'!F77</f>
        <v>440200648.38</v>
      </c>
      <c r="U68" s="18">
        <f>'Formato 6 c)'!G77</f>
        <v>457977113.05999994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MUNICIPIO DE SAN FELIPE, Gobierno del Estado de Guanajuato</v>
      </c>
    </row>
    <row r="7" spans="2:3" ht="14.25" x14ac:dyDescent="0.45">
      <c r="C7" t="str">
        <f>CONCATENATE(ENTE_PUBLICO," (a)")</f>
        <v>MUNICIPIO DE SAN FELIPE,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1156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ht="14.25" x14ac:dyDescent="0.45">
      <c r="D30" s="140">
        <v>-1.7976931348623099E+100</v>
      </c>
      <c r="E30" s="140">
        <v>1.7976931348623099E+100</v>
      </c>
    </row>
    <row r="32" spans="4:9" ht="14.25" x14ac:dyDescent="0.45">
      <c r="D32" t="s">
        <v>3145</v>
      </c>
      <c r="E32" t="s">
        <v>3146</v>
      </c>
    </row>
    <row r="33" spans="4:5" ht="14.25" x14ac:dyDescent="0.4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view="pageBreakPreview" zoomScale="90" zoomScaleNormal="90" zoomScaleSheetLayoutView="90" workbookViewId="0">
      <selection activeCell="A5" sqref="A5:G5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76453028.930000007</v>
      </c>
      <c r="C9" s="66">
        <f t="shared" ref="C9:F9" si="0">SUM(C10,C11,C12,C15,C16,C19)</f>
        <v>0</v>
      </c>
      <c r="D9" s="66">
        <f t="shared" si="0"/>
        <v>76453028.929999992</v>
      </c>
      <c r="E9" s="66">
        <f t="shared" si="0"/>
        <v>1602469.38</v>
      </c>
      <c r="F9" s="66">
        <f t="shared" si="0"/>
        <v>70722771.349999994</v>
      </c>
      <c r="G9" s="66">
        <f>SUM(G10,G11,G12,G15,G16,G19)</f>
        <v>74850559.549999997</v>
      </c>
    </row>
    <row r="10" spans="1:7" x14ac:dyDescent="0.25">
      <c r="A10" s="53" t="s">
        <v>401</v>
      </c>
      <c r="B10" s="67">
        <v>76453028.930000007</v>
      </c>
      <c r="C10" s="67">
        <v>0</v>
      </c>
      <c r="D10" s="67">
        <v>76453028.929999992</v>
      </c>
      <c r="E10" s="67">
        <v>1602469.38</v>
      </c>
      <c r="F10" s="67">
        <v>70722771.349999994</v>
      </c>
      <c r="G10" s="67">
        <f>D10-E10</f>
        <v>74850559.549999997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42068133.600000001</v>
      </c>
      <c r="C21" s="66">
        <f t="shared" ref="C21:F21" si="4">SUM(C22,C23,C24,C27,C28,C31)</f>
        <v>649569.39000000025</v>
      </c>
      <c r="D21" s="66">
        <f t="shared" si="4"/>
        <v>42717702.989999995</v>
      </c>
      <c r="E21" s="66">
        <f t="shared" si="4"/>
        <v>0</v>
      </c>
      <c r="F21" s="66">
        <f t="shared" si="4"/>
        <v>42717702.989999995</v>
      </c>
      <c r="G21" s="66">
        <f>SUM(G22,G23,G24,G27,G28,G31)</f>
        <v>42717702.989999995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ht="14.25" x14ac:dyDescent="0.4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42068133.600000001</v>
      </c>
      <c r="C27" s="67">
        <v>649569.39000000025</v>
      </c>
      <c r="D27" s="67">
        <v>42717702.989999995</v>
      </c>
      <c r="E27" s="67">
        <v>0</v>
      </c>
      <c r="F27" s="67">
        <v>42717702.989999995</v>
      </c>
      <c r="G27" s="67">
        <f t="shared" si="6"/>
        <v>42717702.989999995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ht="14.25" x14ac:dyDescent="0.4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ht="14.25" x14ac:dyDescent="0.4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ht="14.25" x14ac:dyDescent="0.4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ht="14.25" x14ac:dyDescent="0.45">
      <c r="A32" s="54"/>
      <c r="B32" s="68"/>
      <c r="C32" s="68"/>
      <c r="D32" s="68"/>
      <c r="E32" s="68"/>
      <c r="F32" s="68"/>
      <c r="G32" s="68"/>
    </row>
    <row r="33" spans="1:7" ht="14.25" x14ac:dyDescent="0.45">
      <c r="A33" s="55" t="s">
        <v>412</v>
      </c>
      <c r="B33" s="66">
        <f>B21+B9</f>
        <v>118521162.53</v>
      </c>
      <c r="C33" s="66">
        <f t="shared" ref="C33:G33" si="9">C21+C9</f>
        <v>649569.39000000025</v>
      </c>
      <c r="D33" s="66">
        <f t="shared" si="9"/>
        <v>119170731.91999999</v>
      </c>
      <c r="E33" s="66">
        <f t="shared" si="9"/>
        <v>1602469.38</v>
      </c>
      <c r="F33" s="66">
        <f t="shared" si="9"/>
        <v>113440474.33999999</v>
      </c>
      <c r="G33" s="66">
        <f t="shared" si="9"/>
        <v>117568262.53999999</v>
      </c>
    </row>
    <row r="34" spans="1:7" ht="14.25" x14ac:dyDescent="0.4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52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76453028.930000007</v>
      </c>
      <c r="Q2" s="18">
        <f>'Formato 6 d)'!C9</f>
        <v>0</v>
      </c>
      <c r="R2" s="18">
        <f>'Formato 6 d)'!D9</f>
        <v>76453028.929999992</v>
      </c>
      <c r="S2" s="18">
        <f>'Formato 6 d)'!E9</f>
        <v>1602469.38</v>
      </c>
      <c r="T2" s="18">
        <f>'Formato 6 d)'!F9</f>
        <v>70722771.349999994</v>
      </c>
      <c r="U2" s="18">
        <f>'Formato 6 d)'!G9</f>
        <v>74850559.549999997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76453028.930000007</v>
      </c>
      <c r="Q3" s="18">
        <f>'Formato 6 d)'!C10</f>
        <v>0</v>
      </c>
      <c r="R3" s="18">
        <f>'Formato 6 d)'!D10</f>
        <v>76453028.929999992</v>
      </c>
      <c r="S3" s="18">
        <f>'Formato 6 d)'!E10</f>
        <v>1602469.38</v>
      </c>
      <c r="T3" s="18">
        <f>'Formato 6 d)'!F10</f>
        <v>70722771.349999994</v>
      </c>
      <c r="U3" s="18">
        <f>'Formato 6 d)'!G10</f>
        <v>74850559.549999997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42068133.600000001</v>
      </c>
      <c r="Q13" s="18">
        <f>'Formato 6 d)'!C21</f>
        <v>649569.39000000025</v>
      </c>
      <c r="R13" s="18">
        <f>'Formato 6 d)'!D21</f>
        <v>42717702.989999995</v>
      </c>
      <c r="S13" s="18">
        <f>'Formato 6 d)'!E21</f>
        <v>0</v>
      </c>
      <c r="T13" s="18">
        <f>'Formato 6 d)'!F21</f>
        <v>42717702.989999995</v>
      </c>
      <c r="U13" s="18">
        <f>'Formato 6 d)'!G21</f>
        <v>42717702.989999995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42068133.600000001</v>
      </c>
      <c r="Q19" s="18">
        <f>'Formato 6 d)'!C27</f>
        <v>649569.39000000025</v>
      </c>
      <c r="R19" s="18">
        <f>'Formato 6 d)'!D27</f>
        <v>42717702.989999995</v>
      </c>
      <c r="S19" s="18">
        <f>'Formato 6 d)'!E27</f>
        <v>0</v>
      </c>
      <c r="T19" s="18">
        <f>'Formato 6 d)'!F27</f>
        <v>42717702.989999995</v>
      </c>
      <c r="U19" s="18">
        <f>'Formato 6 d)'!G27</f>
        <v>42717702.989999995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118521162.53</v>
      </c>
      <c r="Q24" s="18">
        <f>'Formato 6 d)'!C33</f>
        <v>649569.39000000025</v>
      </c>
      <c r="R24" s="18">
        <f>'Formato 6 d)'!D33</f>
        <v>119170731.91999999</v>
      </c>
      <c r="S24" s="18">
        <f>'Formato 6 d)'!E33</f>
        <v>1602469.38</v>
      </c>
      <c r="T24" s="18">
        <f>'Formato 6 d)'!F33</f>
        <v>113440474.33999999</v>
      </c>
      <c r="U24" s="18">
        <f>'Formato 6 d)'!G33</f>
        <v>117568262.53999999</v>
      </c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ht="14.25" x14ac:dyDescent="0.45">
      <c r="A26" s="3"/>
      <c r="P26" s="18"/>
      <c r="Q26" s="18"/>
      <c r="R26" s="18"/>
      <c r="S26" s="18"/>
      <c r="T26" s="18"/>
      <c r="U26" s="18"/>
    </row>
    <row r="27" spans="1:21" ht="14.25" x14ac:dyDescent="0.45">
      <c r="A27" s="3"/>
      <c r="P27" s="18"/>
      <c r="Q27" s="18"/>
      <c r="R27" s="18"/>
      <c r="S27" s="18"/>
      <c r="T27" s="18"/>
      <c r="U27" s="18"/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ht="14.25" x14ac:dyDescent="0.45">
      <c r="A30" s="3"/>
      <c r="P30" s="18"/>
      <c r="Q30" s="18"/>
      <c r="R30" s="18"/>
      <c r="S30" s="18"/>
      <c r="T30" s="18"/>
      <c r="U30" s="18"/>
    </row>
    <row r="31" spans="1:21" ht="14.25" x14ac:dyDescent="0.45">
      <c r="A31" s="3"/>
      <c r="P31" s="18"/>
      <c r="Q31" s="18"/>
      <c r="R31" s="18"/>
      <c r="S31" s="18"/>
      <c r="T31" s="18"/>
      <c r="U31" s="18"/>
    </row>
    <row r="32" spans="1:21" ht="14.25" x14ac:dyDescent="0.45">
      <c r="A32" s="3"/>
      <c r="P32" s="18"/>
      <c r="Q32" s="18"/>
      <c r="R32" s="18"/>
      <c r="S32" s="18"/>
      <c r="T32" s="18"/>
      <c r="U32" s="18"/>
    </row>
    <row r="33" spans="1:21" ht="14.25" x14ac:dyDescent="0.45">
      <c r="A33" s="3"/>
      <c r="P33" s="18"/>
      <c r="Q33" s="18"/>
      <c r="R33" s="18"/>
      <c r="S33" s="18"/>
      <c r="T33" s="18"/>
      <c r="U33" s="18"/>
    </row>
    <row r="34" spans="1:21" ht="14.25" x14ac:dyDescent="0.4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85" zoomScaleNormal="85" zoomScalePageLayoutView="90" workbookViewId="0">
      <selection activeCell="A5" sqref="A5:G5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ht="14.25" x14ac:dyDescent="0.4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ht="14.25" x14ac:dyDescent="0.4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ht="14.25" x14ac:dyDescent="0.45">
      <c r="A31" s="54"/>
      <c r="B31" s="54"/>
      <c r="C31" s="54"/>
      <c r="D31" s="54"/>
      <c r="E31" s="54"/>
      <c r="F31" s="54"/>
      <c r="G31" s="54"/>
    </row>
    <row r="32" spans="1:7" ht="14.25" x14ac:dyDescent="0.4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ht="14.25" x14ac:dyDescent="0.45">
      <c r="A33" s="54"/>
      <c r="B33" s="54"/>
      <c r="C33" s="54"/>
      <c r="D33" s="54"/>
      <c r="E33" s="54"/>
      <c r="F33" s="54"/>
      <c r="G33" s="54"/>
    </row>
    <row r="34" spans="1:7" ht="14.25" x14ac:dyDescent="0.4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28.5" x14ac:dyDescent="0.4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ht="14.25" x14ac:dyDescent="0.4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8:G37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ht="14.25" x14ac:dyDescent="0.4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ht="14.25" x14ac:dyDescent="0.4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ht="14.25" x14ac:dyDescent="0.45">
      <c r="A28" s="3"/>
      <c r="P28" s="18"/>
      <c r="Q28" s="18"/>
      <c r="R28" s="18"/>
      <c r="S28" s="18"/>
      <c r="T28" s="18"/>
      <c r="U28" s="18"/>
    </row>
    <row r="29" spans="1:21" ht="14.25" x14ac:dyDescent="0.45">
      <c r="A29" s="3"/>
      <c r="P29" s="18"/>
      <c r="Q29" s="18"/>
      <c r="R29" s="18"/>
      <c r="S29" s="18"/>
      <c r="T29" s="18"/>
      <c r="U29" s="18"/>
    </row>
    <row r="30" spans="1:21" ht="14.25" x14ac:dyDescent="0.45">
      <c r="A30" s="3"/>
      <c r="P30" s="18"/>
      <c r="Q30" s="18"/>
      <c r="R30" s="18"/>
      <c r="S30" s="18"/>
      <c r="T30" s="18"/>
      <c r="U30" s="18"/>
    </row>
    <row r="31" spans="1:21" ht="14.25" x14ac:dyDescent="0.45">
      <c r="A31" s="3"/>
      <c r="P31" s="18"/>
      <c r="Q31" s="18"/>
      <c r="R31" s="18"/>
      <c r="S31" s="18"/>
      <c r="T31" s="18"/>
      <c r="U31" s="18"/>
    </row>
    <row r="32" spans="1:21" ht="14.25" x14ac:dyDescent="0.45">
      <c r="A32" s="3"/>
      <c r="P32" s="18"/>
      <c r="Q32" s="18"/>
      <c r="R32" s="18"/>
      <c r="S32" s="18"/>
      <c r="T32" s="18"/>
      <c r="U32" s="18"/>
    </row>
    <row r="33" spans="1:21" ht="14.25" x14ac:dyDescent="0.45">
      <c r="A33" s="3"/>
      <c r="P33" s="18"/>
      <c r="Q33" s="18"/>
      <c r="R33" s="18"/>
      <c r="S33" s="18"/>
      <c r="T33" s="18"/>
      <c r="U33" s="18"/>
    </row>
    <row r="34" spans="1:21" ht="14.25" x14ac:dyDescent="0.4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90" zoomScaleNormal="90" workbookViewId="0">
      <selection activeCell="A5" sqref="A5:G5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ht="14.25" x14ac:dyDescent="0.4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ht="14.25" x14ac:dyDescent="0.4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8:G30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opLeftCell="A2" zoomScale="90" zoomScaleNormal="90" workbookViewId="0">
      <selection activeCell="A5" sqref="A5:G5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ht="14.25" x14ac:dyDescent="0.4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ht="14.25" x14ac:dyDescent="0.4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ht="14.25" x14ac:dyDescent="0.4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ht="14.25" x14ac:dyDescent="0.45">
      <c r="A32" s="54"/>
      <c r="B32" s="54"/>
      <c r="C32" s="54"/>
      <c r="D32" s="54"/>
      <c r="E32" s="54"/>
      <c r="F32" s="54"/>
      <c r="G32" s="54"/>
    </row>
    <row r="33" spans="1:7" ht="14.25" x14ac:dyDescent="0.4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ht="14.25" x14ac:dyDescent="0.4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ht="14.25" x14ac:dyDescent="0.4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ht="14.25" x14ac:dyDescent="0.4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ht="14.25" x14ac:dyDescent="0.4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90" zoomScaleNormal="90" workbookViewId="0">
      <selection activeCell="A5" sqref="A5:G5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San Felipe,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ht="14.25" x14ac:dyDescent="0.45">
      <c r="A30" s="58"/>
      <c r="B30" s="58"/>
      <c r="C30" s="58"/>
      <c r="D30" s="58"/>
      <c r="E30" s="58"/>
      <c r="F30" s="58"/>
      <c r="G30" s="58"/>
    </row>
    <row r="31" spans="1:7" ht="14.25" x14ac:dyDescent="0.45">
      <c r="A31" s="90"/>
    </row>
    <row r="32" spans="1:7" ht="14.25" x14ac:dyDescent="0.4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ht="14.25" x14ac:dyDescent="0.4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topLeftCell="A5" zoomScale="90" zoomScaleNormal="90" workbookViewId="0">
      <selection activeCell="A5" sqref="A5:G5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MUNICIPIO DE SAN FELIPE,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ht="14.25" x14ac:dyDescent="0.45">
      <c r="A31" s="137" t="s">
        <v>506</v>
      </c>
      <c r="B31" s="60"/>
      <c r="C31" s="60"/>
      <c r="D31" s="60"/>
      <c r="E31" s="60"/>
      <c r="F31" s="60"/>
    </row>
    <row r="32" spans="1:6" ht="14.25" x14ac:dyDescent="0.45">
      <c r="A32" s="137" t="s">
        <v>510</v>
      </c>
      <c r="B32" s="60"/>
      <c r="C32" s="60"/>
      <c r="D32" s="60"/>
      <c r="E32" s="60"/>
      <c r="F32" s="60"/>
    </row>
    <row r="33" spans="1:6" ht="14.25" x14ac:dyDescent="0.45">
      <c r="A33" s="137" t="s">
        <v>522</v>
      </c>
      <c r="B33" s="60"/>
      <c r="C33" s="60"/>
      <c r="D33" s="60"/>
      <c r="E33" s="60"/>
      <c r="F33" s="60"/>
    </row>
    <row r="34" spans="1:6" ht="14.25" x14ac:dyDescent="0.4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ht="14.25" x14ac:dyDescent="0.45">
      <c r="A38" s="137" t="s">
        <v>526</v>
      </c>
      <c r="B38" s="147"/>
      <c r="C38" s="60"/>
      <c r="D38" s="60"/>
      <c r="E38" s="60"/>
      <c r="F38" s="60"/>
    </row>
    <row r="39" spans="1:6" ht="14.25" x14ac:dyDescent="0.45">
      <c r="A39" s="138"/>
      <c r="B39" s="54"/>
      <c r="C39" s="54"/>
      <c r="D39" s="54"/>
      <c r="E39" s="54"/>
      <c r="F39" s="54"/>
    </row>
    <row r="40" spans="1:6" ht="14.25" x14ac:dyDescent="0.45">
      <c r="A40" s="136" t="s">
        <v>527</v>
      </c>
      <c r="B40" s="60"/>
      <c r="C40" s="60"/>
      <c r="D40" s="60"/>
      <c r="E40" s="60"/>
      <c r="F40" s="60"/>
    </row>
    <row r="41" spans="1:6" ht="14.25" x14ac:dyDescent="0.4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ht="14.25" x14ac:dyDescent="0.4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ht="14.25" x14ac:dyDescent="0.4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ht="14.25" x14ac:dyDescent="0.4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ht="14.25" x14ac:dyDescent="0.4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ht="14.25" x14ac:dyDescent="0.4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ht="14.25" x14ac:dyDescent="0.4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ht="14.25" x14ac:dyDescent="0.4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17283"/>
  <sheetViews>
    <sheetView showGridLines="0" view="pageBreakPreview" topLeftCell="C1" zoomScale="90" zoomScaleNormal="90" zoomScaleSheetLayoutView="90" workbookViewId="0">
      <selection activeCell="D24" sqref="D24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74274113.620000005</v>
      </c>
      <c r="C9" s="60">
        <f>SUM(C10:C16)</f>
        <v>88141123.25</v>
      </c>
      <c r="D9" s="100" t="s">
        <v>54</v>
      </c>
      <c r="E9" s="60">
        <f>SUM(E10:E18)</f>
        <v>7553635.5300000012</v>
      </c>
      <c r="F9" s="60">
        <f>SUM(F10:F18)</f>
        <v>16007624.810000001</v>
      </c>
    </row>
    <row r="10" spans="1:6" x14ac:dyDescent="0.25">
      <c r="A10" s="96" t="s">
        <v>4</v>
      </c>
      <c r="B10" s="60"/>
      <c r="C10" s="60"/>
      <c r="D10" s="101" t="s">
        <v>55</v>
      </c>
      <c r="E10" s="60">
        <v>1602469.38</v>
      </c>
      <c r="F10" s="60">
        <v>4604140.01</v>
      </c>
    </row>
    <row r="11" spans="1:6" x14ac:dyDescent="0.25">
      <c r="A11" s="96" t="s">
        <v>5</v>
      </c>
      <c r="B11" s="60">
        <v>67028185.759999998</v>
      </c>
      <c r="C11" s="60">
        <v>56165511.530000001</v>
      </c>
      <c r="D11" s="101" t="s">
        <v>56</v>
      </c>
      <c r="E11" s="60">
        <v>1150317.7</v>
      </c>
      <c r="F11" s="60">
        <v>658763.9</v>
      </c>
    </row>
    <row r="12" spans="1:6" x14ac:dyDescent="0.25">
      <c r="A12" s="96" t="s">
        <v>6</v>
      </c>
      <c r="B12" s="77"/>
      <c r="C12" s="60"/>
      <c r="D12" s="101" t="s">
        <v>57</v>
      </c>
      <c r="E12" s="60">
        <v>239773.61</v>
      </c>
      <c r="F12" s="60">
        <v>5280462.51</v>
      </c>
    </row>
    <row r="13" spans="1:6" x14ac:dyDescent="0.25">
      <c r="A13" s="96" t="s">
        <v>7</v>
      </c>
      <c r="B13" s="60">
        <v>0</v>
      </c>
      <c r="C13" s="60">
        <v>28151132.109999999</v>
      </c>
      <c r="D13" s="101" t="s">
        <v>58</v>
      </c>
      <c r="E13" s="60"/>
      <c r="F13" s="60"/>
    </row>
    <row r="14" spans="1:6" x14ac:dyDescent="0.25">
      <c r="A14" s="96" t="s">
        <v>8</v>
      </c>
      <c r="B14" s="60">
        <v>7245927.8600000003</v>
      </c>
      <c r="C14" s="60">
        <v>3824479.61</v>
      </c>
      <c r="D14" s="101" t="s">
        <v>59</v>
      </c>
      <c r="E14" s="60">
        <v>275206.76</v>
      </c>
      <c r="F14" s="60">
        <v>5148814.16</v>
      </c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1952218.35</v>
      </c>
      <c r="F16" s="60">
        <v>178904.64</v>
      </c>
    </row>
    <row r="17" spans="1:6" x14ac:dyDescent="0.25">
      <c r="A17" s="95" t="s">
        <v>11</v>
      </c>
      <c r="B17" s="60">
        <f>SUM(B18:B24)</f>
        <v>4403448.3600000003</v>
      </c>
      <c r="C17" s="60">
        <f>SUM(C18:C24)</f>
        <v>4391284.03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>
        <v>2333649.73</v>
      </c>
      <c r="F18" s="60">
        <v>136539.59</v>
      </c>
    </row>
    <row r="19" spans="1:6" x14ac:dyDescent="0.25">
      <c r="A19" s="97" t="s">
        <v>13</v>
      </c>
      <c r="B19" s="60">
        <v>22659.74</v>
      </c>
      <c r="C19" s="60">
        <v>0.92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4034845.9</v>
      </c>
      <c r="C20" s="60">
        <v>4034845.99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/>
      <c r="F21" s="60"/>
    </row>
    <row r="22" spans="1:6" x14ac:dyDescent="0.25">
      <c r="A22" s="97" t="s">
        <v>16</v>
      </c>
      <c r="B22" s="60">
        <v>6294.73</v>
      </c>
      <c r="C22" s="60">
        <v>5000</v>
      </c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339647.99</v>
      </c>
      <c r="C24" s="60">
        <v>351437.12</v>
      </c>
      <c r="D24" s="101" t="s">
        <v>69</v>
      </c>
      <c r="E24" s="60"/>
      <c r="F24" s="60"/>
    </row>
    <row r="25" spans="1:6" x14ac:dyDescent="0.25">
      <c r="A25" s="95" t="s">
        <v>19</v>
      </c>
      <c r="B25" s="60">
        <f>SUM(B26:B30)</f>
        <v>27033293.139999997</v>
      </c>
      <c r="C25" s="60">
        <f>SUM(C26:C30)</f>
        <v>28781347.809999999</v>
      </c>
      <c r="D25" s="101" t="s">
        <v>70</v>
      </c>
      <c r="E25" s="60"/>
      <c r="F25" s="60"/>
    </row>
    <row r="26" spans="1:6" x14ac:dyDescent="0.25">
      <c r="A26" s="97" t="s">
        <v>20</v>
      </c>
      <c r="B26" s="60">
        <v>971133.48</v>
      </c>
      <c r="C26" s="60">
        <v>1162821.48</v>
      </c>
      <c r="D26" s="100" t="s">
        <v>71</v>
      </c>
      <c r="E26" s="60"/>
      <c r="F26" s="60"/>
    </row>
    <row r="27" spans="1:6" x14ac:dyDescent="0.25">
      <c r="A27" s="97" t="s">
        <v>21</v>
      </c>
      <c r="B27" s="60">
        <v>1238991.08</v>
      </c>
      <c r="C27" s="60">
        <v>1238991.08</v>
      </c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/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24823168.579999998</v>
      </c>
      <c r="C29" s="60">
        <v>26379535.25</v>
      </c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/>
      <c r="C37" s="60"/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105710855.12</v>
      </c>
      <c r="C47" s="61">
        <f>C9+C17+C25+C31+C38+C41</f>
        <v>121313755.09</v>
      </c>
      <c r="D47" s="99" t="s">
        <v>91</v>
      </c>
      <c r="E47" s="61">
        <f>E9+E19+E23+E26+E27+E31+E38+E42</f>
        <v>7553635.5300000012</v>
      </c>
      <c r="F47" s="61">
        <f>F9+F19+F23+F26+F27+F31+F38+F42</f>
        <v>16007624.810000001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/>
      <c r="F50" s="60"/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/>
      <c r="F51" s="60"/>
    </row>
    <row r="52" spans="1:6" x14ac:dyDescent="0.25">
      <c r="A52" s="95" t="s">
        <v>43</v>
      </c>
      <c r="B52" s="60">
        <v>582042886.11000001</v>
      </c>
      <c r="C52" s="60">
        <v>497506070.18000001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75212184.269999996</v>
      </c>
      <c r="C53" s="60">
        <v>62541754.68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1599396.83</v>
      </c>
      <c r="C54" s="60">
        <v>1569892.83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-56868361.159999996</v>
      </c>
      <c r="C55" s="60">
        <v>-47287609.229999997</v>
      </c>
      <c r="D55" s="37" t="s">
        <v>98</v>
      </c>
      <c r="E55" s="60"/>
      <c r="F55" s="60"/>
    </row>
    <row r="56" spans="1:6" x14ac:dyDescent="0.25">
      <c r="A56" s="95" t="s">
        <v>47</v>
      </c>
      <c r="B56" s="60">
        <v>41621.93</v>
      </c>
      <c r="C56" s="60">
        <v>41621.93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7553635.5300000012</v>
      </c>
      <c r="F59" s="61">
        <f>F47+F57</f>
        <v>16007624.810000001</v>
      </c>
    </row>
    <row r="60" spans="1:6" x14ac:dyDescent="0.25">
      <c r="A60" s="55" t="s">
        <v>50</v>
      </c>
      <c r="B60" s="61">
        <f>SUM(B50:B58)</f>
        <v>602027727.98000002</v>
      </c>
      <c r="C60" s="61">
        <f>SUM(C50:C58)</f>
        <v>514371730.39000005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707738583.10000002</v>
      </c>
      <c r="C62" s="61">
        <f>SUM(C47+C60)</f>
        <v>635685485.48000002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77821459.00999999</v>
      </c>
      <c r="F63" s="77">
        <f>SUM(F64:F66)</f>
        <v>76560258.079999998</v>
      </c>
    </row>
    <row r="64" spans="1:6" x14ac:dyDescent="0.25">
      <c r="A64" s="54"/>
      <c r="B64" s="54"/>
      <c r="C64" s="54"/>
      <c r="D64" s="103" t="s">
        <v>103</v>
      </c>
      <c r="E64" s="77">
        <v>73508756.239999995</v>
      </c>
      <c r="F64" s="77">
        <v>72302784.049999997</v>
      </c>
    </row>
    <row r="65" spans="1:6" x14ac:dyDescent="0.25">
      <c r="A65" s="54"/>
      <c r="B65" s="54"/>
      <c r="C65" s="54"/>
      <c r="D65" s="41" t="s">
        <v>104</v>
      </c>
      <c r="E65" s="77">
        <v>4312702.7699999996</v>
      </c>
      <c r="F65" s="77">
        <v>4257474.03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622363488.55999994</v>
      </c>
      <c r="F68" s="77">
        <f>SUM(F69:F73)</f>
        <v>543117602.59000003</v>
      </c>
    </row>
    <row r="69" spans="1:6" x14ac:dyDescent="0.25">
      <c r="A69" s="12"/>
      <c r="B69" s="54"/>
      <c r="C69" s="54"/>
      <c r="D69" s="103" t="s">
        <v>107</v>
      </c>
      <c r="E69" s="77">
        <v>134397232.93000001</v>
      </c>
      <c r="F69" s="77">
        <v>87484742.459999993</v>
      </c>
    </row>
    <row r="70" spans="1:6" x14ac:dyDescent="0.25">
      <c r="A70" s="12"/>
      <c r="B70" s="54"/>
      <c r="C70" s="54"/>
      <c r="D70" s="103" t="s">
        <v>108</v>
      </c>
      <c r="E70" s="77">
        <v>487924811.13</v>
      </c>
      <c r="F70" s="77">
        <v>455591415.63</v>
      </c>
    </row>
    <row r="71" spans="1:6" x14ac:dyDescent="0.25">
      <c r="A71" s="12"/>
      <c r="B71" s="54"/>
      <c r="C71" s="54"/>
      <c r="D71" s="103" t="s">
        <v>109</v>
      </c>
      <c r="E71" s="77">
        <v>41444.5</v>
      </c>
      <c r="F71" s="77">
        <v>41444.5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700184947.56999993</v>
      </c>
      <c r="F79" s="61">
        <f>F63+F68+F75</f>
        <v>619677860.67000008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707738583.0999999</v>
      </c>
      <c r="F81" s="61">
        <f>F59+F79</f>
        <v>635685485.48000002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23622047244094491" right="0.23622047244094491" top="0.74803149606299213" bottom="0.74803149606299213" header="0.31496062992125984" footer="0.31496062992125984"/>
  <pageSetup scale="47" fitToHeight="0" orientation="landscape" r:id="rId1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74274113.620000005</v>
      </c>
      <c r="Q4" s="18">
        <f>'Formato 1'!C9</f>
        <v>88141123.25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67028185.759999998</v>
      </c>
      <c r="Q6" s="18">
        <f>'Formato 1'!C11</f>
        <v>56165511.530000001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28151132.109999999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7245927.8600000003</v>
      </c>
      <c r="Q9" s="18">
        <f>'Formato 1'!C14</f>
        <v>3824479.61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4403448.3600000003</v>
      </c>
      <c r="Q12" s="18">
        <f>'Formato 1'!C17</f>
        <v>4391284.03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22659.74</v>
      </c>
      <c r="Q14" s="18">
        <f>'Formato 1'!C19</f>
        <v>0.92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4034845.9</v>
      </c>
      <c r="Q15" s="18">
        <f>'Formato 1'!C20</f>
        <v>4034845.99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6294.73</v>
      </c>
      <c r="Q17" s="18">
        <f>'Formato 1'!C22</f>
        <v>5000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339647.99</v>
      </c>
      <c r="Q19" s="18">
        <f>'Formato 1'!C24</f>
        <v>351437.12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27033293.139999997</v>
      </c>
      <c r="Q20" s="18">
        <f>'Formato 1'!C25</f>
        <v>28781347.809999999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971133.48</v>
      </c>
      <c r="Q21" s="18">
        <f>'Formato 1'!C26</f>
        <v>1162821.48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1238991.08</v>
      </c>
      <c r="Q22" s="18">
        <f>'Formato 1'!C27</f>
        <v>1238991.08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24823168.579999998</v>
      </c>
      <c r="Q24" s="18">
        <f>'Formato 1'!C29</f>
        <v>26379535.25</v>
      </c>
    </row>
    <row r="25" spans="1:17" ht="14.25" x14ac:dyDescent="0.4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ht="14.25" x14ac:dyDescent="0.4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ht="14.25" x14ac:dyDescent="0.4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ht="14.25" x14ac:dyDescent="0.4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105710855.12</v>
      </c>
      <c r="Q42" s="18">
        <f>'Formato 1'!C47</f>
        <v>121313755.09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582042886.11000001</v>
      </c>
      <c r="Q46">
        <f>'Formato 1'!C52</f>
        <v>497506070.18000001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75212184.269999996</v>
      </c>
      <c r="Q47">
        <f>'Formato 1'!C53</f>
        <v>62541754.68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1599396.83</v>
      </c>
      <c r="Q48">
        <f>'Formato 1'!C54</f>
        <v>1569892.83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-56868361.159999996</v>
      </c>
      <c r="Q49">
        <f>'Formato 1'!C55</f>
        <v>-47287609.229999997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41621.93</v>
      </c>
      <c r="Q50">
        <f>'Formato 1'!C56</f>
        <v>41621.93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602027727.98000002</v>
      </c>
      <c r="Q53">
        <f>'Formato 1'!C60</f>
        <v>514371730.39000005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707738583.10000002</v>
      </c>
      <c r="Q54">
        <f>'Formato 1'!C62</f>
        <v>635685485.48000002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7553635.5300000012</v>
      </c>
      <c r="Q57">
        <f>'Formato 1'!F9</f>
        <v>16007624.810000001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1602469.38</v>
      </c>
      <c r="Q58">
        <f>'Formato 1'!F10</f>
        <v>4604140.01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1150317.7</v>
      </c>
      <c r="Q59">
        <f>'Formato 1'!F11</f>
        <v>658763.9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239773.61</v>
      </c>
      <c r="Q60">
        <f>'Formato 1'!F12</f>
        <v>5280462.51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275206.76</v>
      </c>
      <c r="Q62">
        <f>'Formato 1'!F14</f>
        <v>5148814.16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1952218.35</v>
      </c>
      <c r="Q64">
        <f>'Formato 1'!F16</f>
        <v>178904.64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2333649.73</v>
      </c>
      <c r="Q66">
        <f>'Formato 1'!F18</f>
        <v>136539.59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7553635.5300000012</v>
      </c>
      <c r="Q95">
        <f>'Formato 1'!F47</f>
        <v>16007624.810000001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7553635.5300000012</v>
      </c>
      <c r="Q104">
        <f>'Formato 1'!F59</f>
        <v>16007624.810000001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77821459.00999999</v>
      </c>
      <c r="Q106">
        <f>'Formato 1'!F63</f>
        <v>76560258.079999998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73508756.239999995</v>
      </c>
      <c r="Q107">
        <f>'Formato 1'!F64</f>
        <v>72302784.049999997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4312702.7699999996</v>
      </c>
      <c r="Q108">
        <f>'Formato 1'!F65</f>
        <v>4257474.03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622363488.55999994</v>
      </c>
      <c r="Q110">
        <f>'Formato 1'!F68</f>
        <v>543117602.59000003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134397232.93000001</v>
      </c>
      <c r="Q111">
        <f>'Formato 1'!F69</f>
        <v>87484742.459999993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487924811.13</v>
      </c>
      <c r="Q112">
        <f>'Formato 1'!F70</f>
        <v>455591415.63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41444.5</v>
      </c>
      <c r="Q113">
        <f>'Formato 1'!F71</f>
        <v>41444.5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700184947.56999993</v>
      </c>
      <c r="Q119">
        <f>'Formato 1'!F79</f>
        <v>619677860.67000008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707738583.0999999</v>
      </c>
      <c r="Q120">
        <f>'Formato 1'!F81</f>
        <v>635685485.48000002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>
    <pageSetUpPr fitToPage="1"/>
  </sheetPr>
  <dimension ref="A1:I47"/>
  <sheetViews>
    <sheetView showGridLines="0" view="pageBreakPreview" topLeftCell="B1" zoomScale="90" zoomScaleNormal="90" zoomScaleSheetLayoutView="90" workbookViewId="0">
      <selection activeCell="A5" sqref="A5:G5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6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3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>
        <v>1</v>
      </c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>
        <v>1</v>
      </c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>
        <v>1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3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>
        <v>1</v>
      </c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>
        <v>1</v>
      </c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>
        <v>1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/>
      <c r="C18" s="132"/>
      <c r="D18" s="132"/>
      <c r="E18" s="132"/>
      <c r="F18" s="61"/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0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0</v>
      </c>
      <c r="G20" s="61">
        <f t="shared" si="3"/>
        <v>0</v>
      </c>
      <c r="H20" s="61">
        <f t="shared" si="3"/>
        <v>6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3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>
        <v>1</v>
      </c>
    </row>
    <row r="24" spans="1:8" s="24" customFormat="1" ht="14.25" x14ac:dyDescent="0.45">
      <c r="A24" s="109" t="s">
        <v>443</v>
      </c>
      <c r="B24" s="60"/>
      <c r="C24" s="60"/>
      <c r="D24" s="60"/>
      <c r="E24" s="60"/>
      <c r="F24" s="60"/>
      <c r="G24" s="60"/>
      <c r="H24" s="60">
        <v>1</v>
      </c>
    </row>
    <row r="25" spans="1:8" s="24" customFormat="1" ht="14.25" x14ac:dyDescent="0.45">
      <c r="A25" s="109" t="s">
        <v>444</v>
      </c>
      <c r="B25" s="60"/>
      <c r="C25" s="60"/>
      <c r="D25" s="60"/>
      <c r="E25" s="60"/>
      <c r="F25" s="60"/>
      <c r="G25" s="60"/>
      <c r="H25" s="60">
        <v>1</v>
      </c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3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>
        <v>1</v>
      </c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>
        <v>1</v>
      </c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>
        <v>1</v>
      </c>
    </row>
    <row r="31" spans="1:8" ht="14.25" x14ac:dyDescent="0.4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4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2" fitToHeight="0" orientation="landscape" r:id="rId1"/>
  <headerFooter>
    <oddFooter>&amp;L*No aplica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6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3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1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1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1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3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1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1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1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0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0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6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3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3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view="pageBreakPreview" topLeftCell="B1" zoomScale="90" zoomScaleNormal="90" zoomScaleSheetLayoutView="90" workbookViewId="0">
      <selection activeCell="A5" sqref="A5:G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MUNICIPIO DE SAN FELIPE,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/>
      <c r="F9" s="60">
        <v>80</v>
      </c>
      <c r="G9" s="60"/>
      <c r="H9" s="60"/>
      <c r="I9" s="60"/>
      <c r="J9" s="60"/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/>
      <c r="F10" s="60">
        <v>70</v>
      </c>
      <c r="G10" s="60"/>
      <c r="H10" s="60"/>
      <c r="I10" s="60"/>
      <c r="J10" s="60"/>
      <c r="K10" s="60">
        <f t="shared" ref="K10:K12" si="0"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/>
      <c r="F11" s="60">
        <v>60</v>
      </c>
      <c r="G11" s="60"/>
      <c r="H11" s="60"/>
      <c r="I11" s="60"/>
      <c r="J11" s="60"/>
      <c r="K11" s="60">
        <f t="shared" si="0"/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/>
      <c r="F12" s="60">
        <v>50</v>
      </c>
      <c r="G12" s="60"/>
      <c r="H12" s="60"/>
      <c r="I12" s="60"/>
      <c r="J12" s="60"/>
      <c r="K12" s="60">
        <f t="shared" si="0"/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/>
      <c r="F15" s="60">
        <v>40</v>
      </c>
      <c r="G15" s="60"/>
      <c r="H15" s="60"/>
      <c r="I15" s="60"/>
      <c r="J15" s="60"/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/>
      <c r="F16" s="60">
        <v>30</v>
      </c>
      <c r="G16" s="60"/>
      <c r="H16" s="60"/>
      <c r="I16" s="60"/>
      <c r="J16" s="60"/>
      <c r="K16" s="60">
        <f t="shared" ref="K16:K18" si="1"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/>
      <c r="F17" s="60">
        <v>20</v>
      </c>
      <c r="G17" s="60"/>
      <c r="H17" s="60"/>
      <c r="I17" s="60"/>
      <c r="J17" s="60"/>
      <c r="K17" s="60">
        <f t="shared" si="1"/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/>
      <c r="F18" s="60">
        <v>10</v>
      </c>
      <c r="G18" s="60"/>
      <c r="H18" s="60"/>
      <c r="I18" s="60"/>
      <c r="J18" s="60"/>
      <c r="K18" s="60">
        <f t="shared" si="1"/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9" fitToWidth="0" fitToHeight="0" orientation="landscape" r:id="rId1"/>
  <headerFooter>
    <oddFooter>&amp;L*no aplica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200</vt:i4>
      </vt:variant>
    </vt:vector>
  </HeadingPairs>
  <TitlesOfParts>
    <vt:vector size="231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'Formato 2'!Área_de_impresión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tesoreria</cp:lastModifiedBy>
  <cp:lastPrinted>2020-02-14T20:56:34Z</cp:lastPrinted>
  <dcterms:created xsi:type="dcterms:W3CDTF">2017-01-19T17:59:06Z</dcterms:created>
  <dcterms:modified xsi:type="dcterms:W3CDTF">2021-02-19T20:39:54Z</dcterms:modified>
</cp:coreProperties>
</file>